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 МДААР</author>
    <author> OA_Pazardzhik</author>
    <author>Ivan Tilev</author>
    <author>Jeni Dimitrova</author>
  </authors>
  <commentList>
    <comment ref="C40" authorId="0">
      <text>
        <r>
          <rPr>
            <b/>
            <sz val="8"/>
            <rFont val="Tahoma"/>
            <family val="2"/>
          </rPr>
          <t>По програма за Развитие на селските райони, мярка 321</t>
        </r>
      </text>
    </comment>
    <comment ref="C41" authorId="0">
      <text>
        <r>
          <rPr>
            <b/>
            <sz val="8"/>
            <rFont val="Tahoma"/>
            <family val="2"/>
          </rPr>
          <t xml:space="preserve">По програма за Развитие на селските райони, мярка 321
</t>
        </r>
      </text>
    </comment>
    <comment ref="S89" authorId="0">
      <text>
        <r>
          <rPr>
            <b/>
            <sz val="8"/>
            <rFont val="Tahoma"/>
            <family val="2"/>
          </rPr>
          <t>25 остава резерва заради дублирането на предишните номера</t>
        </r>
      </text>
    </comment>
    <comment ref="D48" authorId="0">
      <text>
        <r>
          <rPr>
            <b/>
            <sz val="8"/>
            <rFont val="Tahoma"/>
            <family val="2"/>
          </rPr>
          <t>Допълнено РС-20 по искане на община Велинград за кръгово на околовръстен път(12.11.2012 г.)</t>
        </r>
      </text>
    </comment>
    <comment ref="I81" authorId="0">
      <text>
        <r>
          <rPr>
            <b/>
            <sz val="8"/>
            <rFont val="Tahoma"/>
            <family val="2"/>
          </rPr>
          <t>корекция на текста в първото разрешение</t>
        </r>
      </text>
    </comment>
    <comment ref="I99" authorId="0">
      <text>
        <r>
          <rPr>
            <b/>
            <sz val="8"/>
            <rFont val="Tahoma"/>
            <family val="2"/>
          </rPr>
          <t>Допълнен и изменен текст</t>
        </r>
      </text>
    </comment>
    <comment ref="S43" authorId="1">
      <text>
        <r>
          <rPr>
            <b/>
            <sz val="8"/>
            <rFont val="Tahoma"/>
            <family val="2"/>
          </rPr>
          <t xml:space="preserve"> OA_Pazardzhik:</t>
        </r>
        <r>
          <rPr>
            <sz val="8"/>
            <rFont val="Tahoma"/>
            <family val="2"/>
          </rPr>
          <t xml:space="preserve">
дублирано с РС-20 на АПИ</t>
        </r>
      </text>
    </comment>
    <comment ref="W51" authorId="1">
      <text>
        <r>
          <rPr>
            <b/>
            <sz val="8"/>
            <rFont val="Tahoma"/>
            <family val="2"/>
          </rPr>
          <t>ДВ 92/23.11.2012</t>
        </r>
      </text>
    </comment>
    <comment ref="C121" authorId="2">
      <text>
        <r>
          <rPr>
            <b/>
            <sz val="9"/>
            <rFont val="Segoe UI"/>
            <family val="2"/>
          </rPr>
          <t>Инициатор Десислав Христов от гр. Пещера</t>
        </r>
      </text>
    </comment>
    <comment ref="J123" authorId="2">
      <text>
        <r>
          <rPr>
            <b/>
            <sz val="9"/>
            <rFont val="Segoe UI"/>
            <family val="2"/>
          </rPr>
          <t>Съгласуване по чл. 128, ал. 6 от ЗУТ</t>
        </r>
      </text>
    </comment>
    <comment ref="E124" authorId="2">
      <text>
        <r>
          <rPr>
            <b/>
            <sz val="9"/>
            <rFont val="Segoe UI"/>
            <family val="2"/>
          </rPr>
          <t>Съгласуване на схема за поставяне</t>
        </r>
      </text>
    </comment>
    <comment ref="G123" authorId="2">
      <text>
        <r>
          <rPr>
            <b/>
            <sz val="9"/>
            <rFont val="Segoe UI"/>
            <family val="2"/>
          </rPr>
          <t>влязла в сила на 12,12,2019 г. Вписана в Служба по вписванията на 04,02,2020 г.</t>
        </r>
      </text>
    </comment>
    <comment ref="N125" authorId="2">
      <text>
        <r>
          <rPr>
            <b/>
            <sz val="9"/>
            <rFont val="Segoe UI"/>
            <family val="2"/>
          </rPr>
          <t>ДВ33/2020</t>
        </r>
      </text>
    </comment>
    <comment ref="Q126" authorId="2">
      <text>
        <r>
          <rPr>
            <b/>
            <sz val="9"/>
            <rFont val="Segoe UI"/>
            <family val="2"/>
          </rPr>
          <t>с доклад</t>
        </r>
      </text>
    </comment>
    <comment ref="G127" authorId="2">
      <text>
        <r>
          <rPr>
            <b/>
            <sz val="9"/>
            <rFont val="Segoe UI"/>
            <family val="2"/>
          </rPr>
          <t>Влязла в сила на 15,09,2020 г.</t>
        </r>
      </text>
    </comment>
    <comment ref="E128" authorId="2">
      <text>
        <r>
          <rPr>
            <b/>
            <sz val="9"/>
            <rFont val="Segoe UI"/>
            <family val="2"/>
          </rPr>
          <t>Съгласувателно писмо за идеалните части от имота под управление на ОУ.</t>
        </r>
      </text>
    </comment>
    <comment ref="C130" authorId="2">
      <text>
        <r>
          <rPr>
            <b/>
            <sz val="9"/>
            <rFont val="Segoe UI"/>
            <family val="2"/>
          </rPr>
          <t>Препратено по компетентност от Батак</t>
        </r>
      </text>
    </comment>
    <comment ref="D133" authorId="2">
      <text>
        <r>
          <rPr>
            <b/>
            <sz val="9"/>
            <rFont val="Segoe UI"/>
            <family val="2"/>
          </rPr>
          <t>Съгласуване по чл.127, ал.2, т.2 от ЗУТ</t>
        </r>
      </text>
    </comment>
    <comment ref="D131" authorId="2">
      <text>
        <r>
          <rPr>
            <b/>
            <sz val="9"/>
            <rFont val="Segoe UI"/>
            <family val="2"/>
          </rPr>
          <t>Изпратено съгласувателно становище по чл. 127, ал. 2 от ЗУТ</t>
        </r>
      </text>
    </comment>
    <comment ref="D134" authorId="2">
      <text>
        <r>
          <rPr>
            <b/>
            <sz val="9"/>
            <rFont val="Segoe UI"/>
            <family val="2"/>
          </rPr>
          <t>Изпратено съгласувателно становище по чл. 127, ал. 2 от ЗУТ</t>
        </r>
      </text>
    </comment>
    <comment ref="N132" authorId="2">
      <text>
        <r>
          <rPr>
            <b/>
            <sz val="9"/>
            <rFont val="Segoe UI"/>
            <family val="2"/>
          </rPr>
          <t>ДВ 47/2021</t>
        </r>
      </text>
    </comment>
    <comment ref="D136" authorId="2">
      <text>
        <r>
          <rPr>
            <b/>
            <sz val="9"/>
            <rFont val="Segoe UI"/>
            <family val="2"/>
          </rPr>
          <t>Изпратено съгласувателно становище по чл. 127, ал. 2 от ЗУТ</t>
        </r>
      </text>
    </comment>
    <comment ref="D138" authorId="2">
      <text>
        <r>
          <rPr>
            <b/>
            <sz val="9"/>
            <rFont val="Segoe UI"/>
            <family val="2"/>
          </rPr>
          <t>Изпратено съгласувателно становище по чл. 127, ал. 2 от ЗУТ</t>
        </r>
      </text>
    </comment>
    <comment ref="N137" authorId="2">
      <text>
        <r>
          <rPr>
            <b/>
            <sz val="9"/>
            <rFont val="Segoe UI"/>
            <family val="2"/>
          </rPr>
          <t>ДВ81/2021</t>
        </r>
      </text>
    </comment>
    <comment ref="D142" authorId="2">
      <text>
        <r>
          <rPr>
            <b/>
            <sz val="9"/>
            <rFont val="Segoe UI"/>
            <family val="2"/>
          </rPr>
          <t xml:space="preserve">Изпратено съгласувателно становище по чл.127, ал.2 и 128, ал.6 от ЗУТ
</t>
        </r>
      </text>
    </comment>
    <comment ref="AC39" authorId="2">
      <text>
        <r>
          <rPr>
            <b/>
            <sz val="9"/>
            <rFont val="Segoe UI"/>
            <family val="2"/>
          </rPr>
          <t>Удостоверенията са издадени от Гл. архитекти на съответните общини</t>
        </r>
      </text>
    </comment>
    <comment ref="AA39" authorId="2">
      <text>
        <r>
          <rPr>
            <b/>
            <sz val="9"/>
            <rFont val="Segoe UI"/>
            <family val="2"/>
          </rPr>
          <t>ТП са регистрирани от съответната общинска администрация</t>
        </r>
      </text>
    </comment>
    <comment ref="S137" authorId="2">
      <text>
        <r>
          <rPr>
            <b/>
            <sz val="9"/>
            <rFont val="Segoe UI"/>
            <family val="2"/>
          </rPr>
          <t>Коригирано наименованието на строежа със Заповед №ТУ-232/11.11.2022 г.</t>
        </r>
      </text>
    </comment>
    <comment ref="U143" authorId="2">
      <text>
        <r>
          <rPr>
            <b/>
            <sz val="9"/>
            <rFont val="Segoe UI"/>
            <family val="2"/>
          </rPr>
          <t>ДВ бр.18</t>
        </r>
      </text>
    </comment>
    <comment ref="D144" authorId="2">
      <text>
        <r>
          <rPr>
            <b/>
            <sz val="9"/>
            <rFont val="Segoe UI"/>
            <family val="2"/>
          </rPr>
          <t>Съгласувано с подпис и печат от ОУ</t>
        </r>
      </text>
    </comment>
    <comment ref="U145" authorId="3">
      <text>
        <r>
          <rPr>
            <b/>
            <sz val="9"/>
            <rFont val="Segoe UI"/>
            <family val="2"/>
          </rPr>
          <t>ДВ 39/2023</t>
        </r>
      </text>
    </comment>
    <comment ref="Z145" authorId="3">
      <text>
        <r>
          <rPr>
            <b/>
            <sz val="9"/>
            <rFont val="Segoe UI"/>
            <family val="2"/>
          </rPr>
          <t>заявление №1969-1 от 17.01.2024 г.</t>
        </r>
      </text>
    </comment>
    <comment ref="R147" authorId="3">
      <text>
        <r>
          <rPr>
            <b/>
            <sz val="9"/>
            <rFont val="Segoe UI"/>
            <family val="0"/>
          </rPr>
          <t>заедно с разрешението за строеж</t>
        </r>
      </text>
    </comment>
    <comment ref="R148" authorId="3">
      <text>
        <r>
          <rPr>
            <b/>
            <sz val="9"/>
            <rFont val="Segoe UI"/>
            <family val="0"/>
          </rPr>
          <t>заедно с разрешението за строеж</t>
        </r>
      </text>
    </comment>
  </commentList>
</comments>
</file>

<file path=xl/sharedStrings.xml><?xml version="1.0" encoding="utf-8"?>
<sst xmlns="http://schemas.openxmlformats.org/spreadsheetml/2006/main" count="681" uniqueCount="568">
  <si>
    <t>постъпило искане</t>
  </si>
  <si>
    <t>входящ №</t>
  </si>
  <si>
    <t>дата</t>
  </si>
  <si>
    <t>№</t>
  </si>
  <si>
    <t>обект</t>
  </si>
  <si>
    <t>ОПТИЧНА КАБЕЛНА МАГИСТРАЛА гр. Пазарджик-гр. Панагюрище.</t>
  </si>
  <si>
    <t>БТК-ЕАД</t>
  </si>
  <si>
    <t>Кейбъл-България АД</t>
  </si>
  <si>
    <t>Междуградска тръбна мрежа за полагане на оптичен кабел "София-Панагюрище-Пазарджик-Пловдив</t>
  </si>
  <si>
    <t>РС-2.1</t>
  </si>
  <si>
    <t>МРРБ</t>
  </si>
  <si>
    <t>04*01*76</t>
  </si>
  <si>
    <t>38*00*0206</t>
  </si>
  <si>
    <t>38*00*0062</t>
  </si>
  <si>
    <t>ТД "ВиК" ЕООД</t>
  </si>
  <si>
    <t>Напорен тръбопровод от НР Виногродец до НР Калугерово"</t>
  </si>
  <si>
    <t>РС-3.1</t>
  </si>
  <si>
    <t>38*00*8</t>
  </si>
  <si>
    <t>ОМВ-България</t>
  </si>
  <si>
    <t>Телефонно захранване на ТКО-“Търговски комплекс на ОМВ” на АМ “Тракия” от км. 73+450 (дясно) до км. 80+000 и по път ІІІ-803 Пазарджик-Калугерово до пощата в с. Динката</t>
  </si>
  <si>
    <t>ФАР-Икономическо и социално сближаване, BG 0102.04 "Общински пътища за достъп до места с туристически интерес". Технически проект на общински път "Дебращица-Св. Константин"-яз. Батак-Цигов чарк"</t>
  </si>
  <si>
    <t xml:space="preserve">“ПУП-ПЗ за имот № 000411 в землището на с. Црънча, община Пазарджик”, подобект: “Трасе за външно електрозахранване 20 kV през землището на с. Дорково, община Ракитово”  и издаване на разрешение за строеж </t>
  </si>
  <si>
    <t xml:space="preserve">“Космо България Мобайл” ЕАД-гр. София </t>
  </si>
  <si>
    <t>Телекабел АД Пазарджик</t>
  </si>
  <si>
    <t>ПУП-ПП за
1. Звъничево-Ковачево-Злокучене
2. Карабунар-Памидово</t>
  </si>
  <si>
    <t>?</t>
  </si>
  <si>
    <t>Деймос ЕООД</t>
  </si>
  <si>
    <t>ПУП-ПП за
1. Дорково-Дъното
2. Дъното-Пещера</t>
  </si>
  <si>
    <t>ПУП-ПП за
1. Главиница-Алеко Константиново-Капитан Димитриево-Радилово</t>
  </si>
  <si>
    <t>38,00,114</t>
  </si>
  <si>
    <t>38,00,123</t>
  </si>
  <si>
    <t>БТК АД</t>
  </si>
  <si>
    <t>Одобрен инвестиционен проект</t>
  </si>
  <si>
    <t>влязло в сила на</t>
  </si>
  <si>
    <t>38,00,154</t>
  </si>
  <si>
    <t>Искане за изработване на комплексен-инвестиционен проект</t>
  </si>
  <si>
    <t>Космо Мобайл</t>
  </si>
  <si>
    <t>ДВ</t>
  </si>
  <si>
    <t>77 от 19.09.2006</t>
  </si>
  <si>
    <t>81 от 06.10.2006</t>
  </si>
  <si>
    <t>Оптичен кабел Пазарджик-Батак
Инвестиционен проект
Разрешение за строеж</t>
  </si>
  <si>
    <t>30,01,07</t>
  </si>
  <si>
    <t>Оптичен кабел Пазарджик-Велинград-Разлог
Подобект: Батак-Аврамови колиби
част: Батак-Ракитово-Велинград</t>
  </si>
  <si>
    <t>без ПУП</t>
  </si>
  <si>
    <t>3800-48</t>
  </si>
  <si>
    <t>Телекабел АД</t>
  </si>
  <si>
    <t>Одобряване на проект: Оптичен кабел Радилово-Главиница, Радилово-Пещера</t>
  </si>
  <si>
    <t>3800-49</t>
  </si>
  <si>
    <t>Издаване на Разрешение за строеж: Оптичен кабел Радилово-Главиница, Радилово-Пещера</t>
  </si>
  <si>
    <t>3800-50</t>
  </si>
  <si>
    <t>Одобряване на проект: Оптичен кабел Бошуля-Злокучене-Ковачево-Звъничево, Карабунар-Памидово</t>
  </si>
  <si>
    <t>3800-51</t>
  </si>
  <si>
    <t>Издаване на Разрешение за стоеж: Оптичен кабел Бошуля-Злокучене-Ковачево-Звъничево, Карабунар-Памидово</t>
  </si>
  <si>
    <t>Областен управител на област Пазарджик</t>
  </si>
  <si>
    <t>Укрепване дига Говедаре</t>
  </si>
  <si>
    <t>3800-60</t>
  </si>
  <si>
    <t>Булсат ООД</t>
  </si>
  <si>
    <t>Оптичен кабел Пещера-Брацигово</t>
  </si>
  <si>
    <t>Издадено на 15.06.2007</t>
  </si>
  <si>
    <t>0400-161</t>
  </si>
  <si>
    <t>Космо България Мобайл ЕАД</t>
  </si>
  <si>
    <t>Оптичен кабел София-Бургас</t>
  </si>
  <si>
    <t>РС-6
издадено от МРРБ</t>
  </si>
  <si>
    <t>3900-3</t>
  </si>
  <si>
    <t>Панагюрски мини ЕАД-в ликвидация</t>
  </si>
  <si>
    <t>Одобряване на проект и издаване на Разрешение за строеж за обект:Рекултивация на терени в района на рудник "Радка"</t>
  </si>
  <si>
    <t>3800-126</t>
  </si>
  <si>
    <t>Одобряване на проект и издаване на Разрешение за строеж за обект:Трасе на оптичен кабел землище гр. Костандово, община Ракитово-землище гр. Велинград, община Велинград, област Пазарджик</t>
  </si>
  <si>
    <t>38-00-160 от 20.02.2007 г.</t>
  </si>
  <si>
    <t>върнат за окомплектоване</t>
  </si>
  <si>
    <t>82 от 2007 г.</t>
  </si>
  <si>
    <t>Технически паспорт</t>
  </si>
  <si>
    <t>3800-145</t>
  </si>
  <si>
    <t>ВЛ 110 кВ Радилово на територията на общини Пещера и Пазарджик</t>
  </si>
  <si>
    <t>3800-3</t>
  </si>
  <si>
    <t>"Нов форум" ЕООД-Пловдив
ул. Полет №1
Булстат 115863024</t>
  </si>
  <si>
    <t>Ел. Захранване на ПИ 158008 и 158009 в землище на с. Динката, община Лесичово</t>
  </si>
  <si>
    <t>3800-3-1
21.02.2008 г.</t>
  </si>
  <si>
    <t>3800-149</t>
  </si>
  <si>
    <t>38,00,88</t>
  </si>
  <si>
    <t>Бейкър-Р ЕООД</t>
  </si>
  <si>
    <t>Заповед №192/04.06.2008 г.
ДВ 57/24.06.2008 г.</t>
  </si>
  <si>
    <t>Възстановяване дига Стара река-Пещера</t>
  </si>
  <si>
    <t>1101-340</t>
  </si>
  <si>
    <t>Община Панагюрище</t>
  </si>
  <si>
    <t>“ВОДОСНАБДЯВАНЕ НА ГРУПА ПАНАГЮРИЩЕ ОТ ТРЪБНИ КЛАДЕНЦИ ПРИ С. ЗЛОКУЧЕНЕ – Реконструкция на напорен водопровод от ПС ІІ подем до ПС ІV подем” в землищата на Община Септември, Община Лесичево и Община Панагюрище</t>
  </si>
  <si>
    <t>3800-127</t>
  </si>
  <si>
    <t>БТК-МОБАЙЛ" ЕООД</t>
  </si>
  <si>
    <t>Трасе ел.провод Симеоновец-Драгиново</t>
  </si>
  <si>
    <t>9400-351</t>
  </si>
  <si>
    <t>„ЕЛИТАГРО” ООД-ПАЗАРДЖИК</t>
  </si>
  <si>
    <t>1. ПУП-Парцеларен план за трасе на електропровод 20 киловолта от ЖР стълб №107/1 от ВЕЛ 20 киловолта „Варвара”, землище на с. Паталеница, община Панагюрище до ПИ №012090, м. „Дърмата”, землище на с. Ветрен дол, община Септември.</t>
  </si>
  <si>
    <t>9400-351-1
14.10.2008 г.</t>
  </si>
  <si>
    <t>3800-151</t>
  </si>
  <si>
    <t>ТЕЛЕКАБЕЛ АД</t>
  </si>
  <si>
    <t>Оптичен кабел Карабунар-Виноградец-Калугерово</t>
  </si>
  <si>
    <t>1101-48</t>
  </si>
  <si>
    <t>Община Брацигово</t>
  </si>
  <si>
    <t>Реконструкция на съществуващи и изграждане на нови канализационни мрежи и съоръжениия, съпътстващи водопроводи и ПСОВ-гр. Брацигово</t>
  </si>
  <si>
    <t>1101-162</t>
  </si>
  <si>
    <t>Канализация с. Козарско</t>
  </si>
  <si>
    <t>да. Не променят трасето и местоположението на стълбовете. Няма да изработват ПУП-Парцеларен план</t>
  </si>
  <si>
    <t xml:space="preserve">  </t>
  </si>
  <si>
    <t>3800-124</t>
  </si>
  <si>
    <t>ВЛ Крива река 400 кV</t>
  </si>
  <si>
    <t>ВЛ Алабак 400 кV</t>
  </si>
  <si>
    <t>ВЛ Куманица 220 кV</t>
  </si>
  <si>
    <t>ВЛ Равногор 220 кV</t>
  </si>
  <si>
    <t>НЕК ЕАД с Договор №ТС - 2884180 от 10.11.2008 г. с Гарант-Инвест АД, Кърджали</t>
  </si>
  <si>
    <t>Разрешение за строеж</t>
  </si>
  <si>
    <t>1С</t>
  </si>
  <si>
    <t>2С</t>
  </si>
  <si>
    <t>3С</t>
  </si>
  <si>
    <t>4С</t>
  </si>
  <si>
    <t>5300-33</t>
  </si>
  <si>
    <t>Национална агенция "Пътна инфраструктура"</t>
  </si>
  <si>
    <t>Рехабилитация на път по проект „Транзитни пътища 5” от “Лот 22Б с участъци:</t>
  </si>
  <si>
    <t>“Инертни материали” ООД-гр. Пазарджик</t>
  </si>
  <si>
    <t>“Възстановяване на съществуващ въздушен ел. провод на ВЕЛ 20 кV за външно електроснабдяване на баластриера “Бошуля”</t>
  </si>
  <si>
    <t>3800-139</t>
  </si>
  <si>
    <t>Трасе на оптична кабелна линия преминаваща през землище гр. Пещера, община Пещера, землище с. Бяга, община Брацигово, землище с. Капитан Димитриево, община Пещера, землище с. Алеко Константиново, община Пазарджик, землище с. Главиница, община Пазарджик, землище гр. Пазарджик-област Пазарджик.</t>
  </si>
  <si>
    <t>3800-139-1 от 06.01.2010 г.</t>
  </si>
  <si>
    <t>3800-15</t>
  </si>
  <si>
    <t>Кабелна линия 20 кВ и БКТБ за връзка на с ел. Мрежата на фотоволтаична централа, в ПИ №105001, местност "Сакарджа", землище на с. Сбор, община Пазарджик и междустълбие 80-81 на ВЕЛ 20 кВ "Росица" землище на с. Елшица, община Панагюрище</t>
  </si>
  <si>
    <t>3800-15-1 от 26.02.2010 г.</t>
  </si>
  <si>
    <t>Риал стейтс ЕООД
Внесено допълнително искане по чл.150, ал.1 от ЗУТ за Комплексен проект за инвестиционна инициатива.</t>
  </si>
  <si>
    <t>3800-41</t>
  </si>
  <si>
    <t>ПУП-Парцеларен план за определяне на трасе на оптична кабелна линия, преминаваща през землище на с. Величково, община Пазарджик и землище на с. Памидово, община Лесичово</t>
  </si>
  <si>
    <t>3800-41-1/11.05.2010</t>
  </si>
  <si>
    <t>Агенция Пътна инфраструктура</t>
  </si>
  <si>
    <t>2400-184</t>
  </si>
  <si>
    <t>Областно пътно управление-Пазарджик</t>
  </si>
  <si>
    <t>Път ІІ-37 Пазарджик-Пещера-Батак-Доспат(частично изменение в регулацията на гр. Пещера</t>
  </si>
  <si>
    <t>по чл.154, ал5 от ЗУТ</t>
  </si>
  <si>
    <t>Заповед № за отразяване в РС-№16</t>
  </si>
  <si>
    <t>3800-61</t>
  </si>
  <si>
    <t>МВЕЦ Полатово ЕООД</t>
  </si>
  <si>
    <t>МВЕЦ Полатово</t>
  </si>
  <si>
    <t>3800-66</t>
  </si>
  <si>
    <t>Агрофарм ООД</t>
  </si>
  <si>
    <t>Водопровод от Лесичово до имот №255070 м. Манастира(Винарска изба)</t>
  </si>
  <si>
    <t>Учредяване право на прокарване със заповед по реда на чл.193, ал.4 от ЗУТ</t>
  </si>
  <si>
    <t>3800-62</t>
  </si>
  <si>
    <t>Трасе на оптична кабелна линия преминаваща през землище с. Величково, община Пазарджик до с. Памидово, община Лесичово</t>
  </si>
  <si>
    <t>Заповед №292/17.09.2010 г.</t>
  </si>
  <si>
    <t>3800-70</t>
  </si>
  <si>
    <t>Евробетон ЕООД</t>
  </si>
  <si>
    <t>Електропровод от ПИ 153066, землище на с. Мало Конаре до п/ст 110/20 kV "Острова"</t>
  </si>
  <si>
    <t>3800-85</t>
  </si>
  <si>
    <t>„СОЛСБОР-К.Г.Д.” ЕООД
„СОЛСБОР-Г.К.К.” ЕООД</t>
  </si>
  <si>
    <t>ПУП-Парцеларен план за определяне на трасе на линеен обект(електропровод 20 kV) за захранване на ПИ №167019 в землището на с. Сбор, община Пазарджик от подстанция „Попинци”(20/110 kV) в землището на с. Попинци, община Панагюрище</t>
  </si>
  <si>
    <t>3800-85-2</t>
  </si>
  <si>
    <t>3800-100</t>
  </si>
  <si>
    <t>Заповед №331/01.11.2010 г.</t>
  </si>
  <si>
    <t>ТУ-11</t>
  </si>
  <si>
    <t>Заповед №136/04.05.2010</t>
  </si>
  <si>
    <t>Заверена екзекутивна документация по  чл. 175 от ЗУТ</t>
  </si>
  <si>
    <t>3800-8</t>
  </si>
  <si>
    <t>3800-10</t>
  </si>
  <si>
    <t>Трасе на подземна кабелна линия 0.4 kV от ТП "Милеви скали" в ПИ №000033, м. "Милеви скали", землище на с. Драгиново, община Велинтрад през землище на с. Симеоновец, община Септември до ПИ №000179 м. "Милеви скали", землище на с. Драгиново, община Велинтрад</t>
  </si>
  <si>
    <t>х</t>
  </si>
  <si>
    <t>Инвестиционен проект за линеен обект(електропровод 20 kV) за захранване на ПИ №167019 в землището на с. Сбор, община Пазарджик от подстанция „Попинци”(20/110 kV) в землището на с. Попинци, община Панагюрище</t>
  </si>
  <si>
    <t>Заповед №ТУ-25/31.01.2011
ДВ 12/08.02.2011 г. Влязла в сила на 10.03.2011 г.</t>
  </si>
  <si>
    <t>1101-70</t>
  </si>
  <si>
    <t>Община Септември</t>
  </si>
  <si>
    <t>Пречиствателна станция в УПИ І-ПСОВ м. "Кораба"</t>
  </si>
  <si>
    <t>3800-151-2/12.04.2011 г.</t>
  </si>
  <si>
    <t>3800-44</t>
  </si>
  <si>
    <t>Трасе на оптичен кабел Калугерово-Елшица</t>
  </si>
  <si>
    <t>ТУ-111</t>
  </si>
  <si>
    <t>Заповед ТУ-127/05.05.2011</t>
  </si>
  <si>
    <t>1101-102</t>
  </si>
  <si>
    <t>"Техническа помощ за подготовка на интегриран инвестиционен проект за подобряване и развитие на инфраструктурата за третиране и управление на отпадъците в Общините Панагюрище и Стрелча и проектиране на рекултивацията на регламентирано депо Панагюрище 1 в Община Панагюрище и депото в местността "Окопана" в землището на гр.Стрелча".</t>
  </si>
  <si>
    <t>РД-138</t>
  </si>
  <si>
    <t>Община Ракитово</t>
  </si>
  <si>
    <t>ПУП-ПРЗ Площадка-претоварна станция за отпадъци</t>
  </si>
  <si>
    <t>ПУП-ПРЗ Площадка-претоварна станция за отпадъци(довеждаща инфраструктура)</t>
  </si>
  <si>
    <t>Булсатком АД договор с ДИ ТИ АЙ ООД</t>
  </si>
  <si>
    <t>Трасе оптичен кабел Главиница-Радилово-Пещера</t>
  </si>
  <si>
    <t>1101-136</t>
  </si>
  <si>
    <t>Пречиствателна станция за отпадни води(ПСОВ)</t>
  </si>
  <si>
    <t>3800-58</t>
  </si>
  <si>
    <t>Елитагро ООД</t>
  </si>
  <si>
    <t>Трасе ел.провод Паталеница-Ветрен дол</t>
  </si>
  <si>
    <t>Към преписка 9400-351</t>
  </si>
  <si>
    <t>3800-69</t>
  </si>
  <si>
    <t>Внесен комплексен проект</t>
  </si>
  <si>
    <t>Х</t>
  </si>
  <si>
    <t>x</t>
  </si>
  <si>
    <t>Риал стейтс ЕООД-Искане за Заповед по чл. 193, ал.4 от ЗУТ</t>
  </si>
  <si>
    <t>Трасе за присъединяване на възлова станция към фотоволтаични системи, находяща се в ПИ №112009, м. „Сакарджа”,  землище на с. Сбор, община Пазарджик, област Пазарджик към междустълбие №41 и №42 на ВЕЛ 110 kV „Бъта-Априлци”</t>
  </si>
  <si>
    <t>да се впише Заповедта след влизането и в сила.</t>
  </si>
  <si>
    <t>да</t>
  </si>
  <si>
    <t>3800-65</t>
  </si>
  <si>
    <t>Галчев-инженеринг</t>
  </si>
  <si>
    <t>Асфалтова база по чл. 54 от ЗУТ за изпълнение на горния обект (издадено разрешение на 15.08.2011)</t>
  </si>
  <si>
    <t>1101-154</t>
  </si>
  <si>
    <t>Възстановяване , ремонт и реконструкция на водопровод "Скелите"</t>
  </si>
  <si>
    <t>1101-154-1/02,08,2011 г.</t>
  </si>
  <si>
    <t>Заповед №ТУ-21/25.01.2011
ДВ 12/2011</t>
  </si>
  <si>
    <t>Резервен номер, РС-23 издадено на Телекабел</t>
  </si>
  <si>
    <t>3800-65-4</t>
  </si>
  <si>
    <t>Галчев Инженеринг</t>
  </si>
  <si>
    <t>3800-82</t>
  </si>
  <si>
    <t>НЕК-Хидроелектроинвест</t>
  </si>
  <si>
    <t>Искане изготвяне проект за ПУП  - Парцеларен план   за проект "Яденица"</t>
  </si>
  <si>
    <t>3800-31</t>
  </si>
  <si>
    <t>Онисолар ООД</t>
  </si>
  <si>
    <t>ТУ-343</t>
  </si>
  <si>
    <t>ТУ-223</t>
  </si>
  <si>
    <t>ТУ-298/28.09.2011
ДВ бр.80/влязла в сила на 14.11.2011 г.</t>
  </si>
  <si>
    <t>3800-93/24.10.2011</t>
  </si>
  <si>
    <t>ТУ-354/18.11.2011
ДВ 96/2011 г.
Влиза в сила на 06.01.2012 г.</t>
  </si>
  <si>
    <t>3800-103</t>
  </si>
  <si>
    <t>Външно ел. захранване на базова станция на Глобул №3517 "Св. Петка" в имот ПИ №003023</t>
  </si>
  <si>
    <t>3800-7</t>
  </si>
  <si>
    <t>Бъдеще агро АД</t>
  </si>
  <si>
    <t>Трасе на подземен ел. провод до ПИ№302139, м. Младата могила, землище на с. Виноградец</t>
  </si>
  <si>
    <t>ТУ-320</t>
  </si>
  <si>
    <t>3800-55
3800-55-3/06.02.2012 г.</t>
  </si>
  <si>
    <t>РС-20</t>
  </si>
  <si>
    <t>2400-38</t>
  </si>
  <si>
    <t>ТУ-72</t>
  </si>
  <si>
    <t>3800-33</t>
  </si>
  <si>
    <t>ИСА 2000 ЕООД</t>
  </si>
  <si>
    <t>типова асфалтова база AMMANN</t>
  </si>
  <si>
    <t>ТУ-88/11.04.2012</t>
  </si>
  <si>
    <t xml:space="preserve">68/2011 </t>
  </si>
  <si>
    <t>Удостоверение за въвеждане в експлоатация
177, ал.3 от ЗУТ</t>
  </si>
  <si>
    <t>5C</t>
  </si>
  <si>
    <t>газоснабдяване асфалтова база</t>
  </si>
  <si>
    <t>ДВ бр.12/2011 г.</t>
  </si>
  <si>
    <t>ДВ 68_2011 г.</t>
  </si>
  <si>
    <t>3800-21</t>
  </si>
  <si>
    <t>СИТИГАЗ България</t>
  </si>
  <si>
    <t>3800-104</t>
  </si>
  <si>
    <t>ВИВАКОМ</t>
  </si>
  <si>
    <t>Трасе аварийно кабелно захранване на банка ДСК-клон Велинград през УПИ ІІ-3183</t>
  </si>
  <si>
    <t>Съгласуван проект от ОЕСУТ
Протокол /04,03,2009 г.</t>
  </si>
  <si>
    <t>Водопровод минерална вода-хотел Бейкърсвил</t>
  </si>
  <si>
    <t>3800-83</t>
  </si>
  <si>
    <t>Газопровод до хотел Бейкърсвил</t>
  </si>
  <si>
    <t>право на прокарване</t>
  </si>
  <si>
    <t>ДВ бр.39/20.05.2011 г.
влязла в сила на 20.06.2011 г.</t>
  </si>
  <si>
    <t>1101-5</t>
  </si>
  <si>
    <t>община Батак</t>
  </si>
  <si>
    <t>Подобряване на инфраструктурата за отпадъчни и питейни води на КК "язовир Батак"</t>
  </si>
  <si>
    <t>Разглеждане на идеен инвестиционен проект по чл. 141, ал.2 от ЗУТ</t>
  </si>
  <si>
    <t>бр.6 от 22.01.2013</t>
  </si>
  <si>
    <t>Заповед за ОЕСУТ ТУ-16/17.01.2013
Протокол на ОЕСУТ 21.01.2013 г.</t>
  </si>
  <si>
    <t>33/27.04.2012</t>
  </si>
  <si>
    <t>1101-105</t>
  </si>
  <si>
    <t>1101-105/28.05.2011</t>
  </si>
  <si>
    <t>1101-105-2/22.05.2012</t>
  </si>
  <si>
    <t>ТУ-177</t>
  </si>
  <si>
    <t>ТУ-201/14.09.2012</t>
  </si>
  <si>
    <t>73/25.09.2012</t>
  </si>
  <si>
    <t>1101-105-6</t>
  </si>
  <si>
    <t>1101-105-6/14.11.2012</t>
  </si>
  <si>
    <t>РД-268/23.11.2012</t>
  </si>
  <si>
    <t>96/06.12.2012</t>
  </si>
  <si>
    <t>90/15.11.2011</t>
  </si>
  <si>
    <t>ТУ-333/02.11.2011 г.
влязла в сила 16.12.2011 г.</t>
  </si>
  <si>
    <t>3800-55-1/20.06.2011
3800-55-2/18.07.2011</t>
  </si>
  <si>
    <t>3800-88/06.10.2011</t>
  </si>
  <si>
    <t>3800-44-1/09.05.2011</t>
  </si>
  <si>
    <t>3800-44-2/05.03.2012</t>
  </si>
  <si>
    <t>Заповед за ОЕСУТ</t>
  </si>
  <si>
    <t>ТУ-204/17.09.2012</t>
  </si>
  <si>
    <t>3800-62/17.08.2010</t>
  </si>
  <si>
    <t xml:space="preserve">Заповед №ТУ-21/25.01.2011 </t>
  </si>
  <si>
    <t>ДВ 12/08.02.2011</t>
  </si>
  <si>
    <t>С доклад</t>
  </si>
  <si>
    <t>96/06.12.2011</t>
  </si>
  <si>
    <t>7/24.01.2012</t>
  </si>
  <si>
    <t>община Пазарджик</t>
  </si>
  <si>
    <t>Регионално депо за ТБО</t>
  </si>
  <si>
    <t>1101-59</t>
  </si>
  <si>
    <t>1101-75</t>
  </si>
  <si>
    <t>ТУ-254</t>
  </si>
  <si>
    <t>Отменено Заповед РД-111/23,05,2012</t>
  </si>
  <si>
    <t>ТУ-15/08.02.2012</t>
  </si>
  <si>
    <t>ТУ-12/06.02.2012</t>
  </si>
  <si>
    <t>28/06.04.2012</t>
  </si>
  <si>
    <t>ТУ-48/09.03.2012</t>
  </si>
  <si>
    <t>Георги Гудов</t>
  </si>
  <si>
    <t>Ел. Захранване на ПИ №02837.504.13, землище гр. Батак</t>
  </si>
  <si>
    <t>9400-27</t>
  </si>
  <si>
    <t>3800-21-3/21.01.2013</t>
  </si>
  <si>
    <t>ТУ-25</t>
  </si>
  <si>
    <t>ТУ-47/01.03.2013</t>
  </si>
  <si>
    <t>3800-22</t>
  </si>
  <si>
    <t>Д ФРАНЧАЙЗ КО-БЪЛГАРИЯ АД</t>
  </si>
  <si>
    <t>ПУП-ПП за Водопровод за захранване на имот №016039 по КВС землище гр. Пещера</t>
  </si>
  <si>
    <t>ТУ-52/11.03.2013 г.</t>
  </si>
  <si>
    <t>ТУ-57/18.03.2013 г.</t>
  </si>
  <si>
    <t>3800-23</t>
  </si>
  <si>
    <t>3800-23-1</t>
  </si>
  <si>
    <t>НКЖИ</t>
  </si>
  <si>
    <t>Временен обектов офис на Изпълнителя в ПИ №55155.508.457 от кадастралната карта на гр. Пазарджик(ЖП гара-Пазарджик)</t>
  </si>
  <si>
    <t>ТУ-72/27.03.2013 г.</t>
  </si>
  <si>
    <t>23/08.03.2013 г.</t>
  </si>
  <si>
    <t>40/30/04.2013</t>
  </si>
  <si>
    <t>Кейбъл груп</t>
  </si>
  <si>
    <t>Информационни табели във връзка с проект "Модернизация на жп участък Септември-Пловдив</t>
  </si>
  <si>
    <t>Разрешение за поставяне по чл. 56 и чл. 57 от ЗУТ</t>
  </si>
  <si>
    <t>НЕК ЕАД-Eлектроенергиен системен оператор.</t>
  </si>
  <si>
    <t>Път ІІ-37 Пазарджик-Пещера-Батак-Доспат</t>
  </si>
  <si>
    <t>инвеститор(възложител)</t>
  </si>
  <si>
    <t>Заповед по чл.154, ал.5 от ЗУТ</t>
  </si>
  <si>
    <t>бр./дата</t>
  </si>
  <si>
    <t>Агенция "Пътна инфраструктура"</t>
  </si>
  <si>
    <t>3. Път ІІІ-8402 "Варвара-Септември-Злокучене-Карабунар-Виноградец-Церово-Кр. ІІІ-803 от км 4+396.68 до км 25+250(от кръстовище с път І-8 до началото на п.в. Церово на АМ "Тракия") с дължина 20.853.32 км.</t>
  </si>
  <si>
    <t xml:space="preserve">Доклад </t>
  </si>
  <si>
    <t>РС-26</t>
  </si>
  <si>
    <t>2/08.01.2010 г.</t>
  </si>
  <si>
    <t>5300-14</t>
  </si>
  <si>
    <t>Искане за промяна етапите за участъци 1 и 2, по реда на чл. 154, ал.5 от ЗУТ</t>
  </si>
  <si>
    <t>ТУ-86/09.04.2013</t>
  </si>
  <si>
    <t>5300-14-2</t>
  </si>
  <si>
    <t>ТУ-148/12.06.2013</t>
  </si>
  <si>
    <t>1101-275</t>
  </si>
  <si>
    <t>Агенция "Пътна инфраструктура"(Кмет на община Велинград)</t>
  </si>
  <si>
    <t>ТУ-243/12.11.2012</t>
  </si>
  <si>
    <t>1101-275-6</t>
  </si>
  <si>
    <t>Искане за промяна етапите за участък 3, по реда на чл. 154, ал.5 от ЗУТ</t>
  </si>
  <si>
    <t>Искане за промяна етапите за участък 2, по реда на чл. 154, ал.5 от ЗУТ</t>
  </si>
  <si>
    <t>ТУ-147/12.06.2013</t>
  </si>
  <si>
    <t>1101-275-9</t>
  </si>
  <si>
    <t>Искане за поправка на явна фактическа грешка в Заповед №147/12.06.2013</t>
  </si>
  <si>
    <t>ТУ-160/25.06.2013</t>
  </si>
  <si>
    <t>Заповед №ТУ-135   17.05.2013 г.</t>
  </si>
  <si>
    <t>обявено на РДНСК</t>
  </si>
  <si>
    <t>ТУ-219/29.07.2011</t>
  </si>
  <si>
    <t>64/19.08.2011</t>
  </si>
  <si>
    <t>1101-216</t>
  </si>
  <si>
    <t>1101-216-1/17.08.2010</t>
  </si>
  <si>
    <t>1101-216-2</t>
  </si>
  <si>
    <t>Доклад</t>
  </si>
  <si>
    <t>80/14.10.2011</t>
  </si>
  <si>
    <t>1101-119</t>
  </si>
  <si>
    <t>ТУ-142/31.05.2013</t>
  </si>
  <si>
    <t>1101-85</t>
  </si>
  <si>
    <t>община Лесичово</t>
  </si>
  <si>
    <t>проект: №ВG 161РООО1/4.1-04/2010/016 от 01.06.2011 г. по Оперативна програма «Регионално развитие» 2007-2013 г. - Предотвратяване на наводненията по коритото на река „Тополница” в община Лесичово</t>
  </si>
  <si>
    <t>ТУ-143</t>
  </si>
  <si>
    <t>1101-75-1</t>
  </si>
  <si>
    <t>1101-75-2</t>
  </si>
  <si>
    <t>1101-59-1</t>
  </si>
  <si>
    <t>1101-69</t>
  </si>
  <si>
    <t>Искане за право на прокарване на технически проводи приз държавни имоти</t>
  </si>
  <si>
    <t>1101-69-1</t>
  </si>
  <si>
    <t>Предварително съгласуване на трасе наш №3800-104-1/19.12.2011</t>
  </si>
  <si>
    <t>2400-233</t>
  </si>
  <si>
    <t>ПОДОБЕКТ: „Временна жп варианта за строителство на жп мост на км 106+690 над Чепинска река".</t>
  </si>
  <si>
    <t>2400-233-1</t>
  </si>
  <si>
    <t>ПОДОБЕКТ: „Информационна табела във връзка с проект "Модернизация на жп участък Септември-Пловдив-гара Пазарджик</t>
  </si>
  <si>
    <t>3800-44-7</t>
  </si>
  <si>
    <t>Влязла в сила</t>
  </si>
  <si>
    <t>Искане за одобряване на инвестиционен проект и издаване на РС</t>
  </si>
  <si>
    <t>3800-21-15</t>
  </si>
  <si>
    <t>Газоснабдяване община Велинград
Главен разпределителен газопровод-етап1</t>
  </si>
  <si>
    <t>Газоснабдяване община Велинград
Главен разпределителен газопровод-етап2</t>
  </si>
  <si>
    <t>ТУ-253</t>
  </si>
  <si>
    <t>98/12.11.2013</t>
  </si>
  <si>
    <t>ТУ-265/19.11.2013</t>
  </si>
  <si>
    <t>102/26.11.2013</t>
  </si>
  <si>
    <t>6C</t>
  </si>
  <si>
    <t>7C</t>
  </si>
  <si>
    <t>9400-17/13.02.2014 г.</t>
  </si>
  <si>
    <t>2400-127</t>
  </si>
  <si>
    <t>ДП НКЖИ</t>
  </si>
  <si>
    <t>ЖП Гара Септември</t>
  </si>
  <si>
    <t>2400-128</t>
  </si>
  <si>
    <t>2400-129</t>
  </si>
  <si>
    <t>2400-130</t>
  </si>
  <si>
    <t>2400-131</t>
  </si>
  <si>
    <t>Междугарие Септември-Пазарджик</t>
  </si>
  <si>
    <t>Междугарие Пазарджик-Огняново</t>
  </si>
  <si>
    <t>Междугарие Огняново-Стамболийски</t>
  </si>
  <si>
    <t>8С</t>
  </si>
  <si>
    <t>9С</t>
  </si>
  <si>
    <t>10С</t>
  </si>
  <si>
    <t>11С</t>
  </si>
  <si>
    <t>12С</t>
  </si>
  <si>
    <t>13С</t>
  </si>
  <si>
    <t>ЖП Гара Пазарджик</t>
  </si>
  <si>
    <t>2400-132</t>
  </si>
  <si>
    <t>ЖП Гара Огняново</t>
  </si>
  <si>
    <t>ПУП-ПП за обект на техническата инфраструктура: Трасе на оптична кабелна линия преминаваща през землищата на гр. Пещера, община Пещера, гр. Батак, община Батак, гр. Ракитово и гр. Костандово, община Ракитово и гр. Велинград, община Велинград –област Пазарджик.</t>
  </si>
  <si>
    <t>3800-85-1/17.10.2011</t>
  </si>
  <si>
    <t>3800-85-2/26.03.2013</t>
  </si>
  <si>
    <t>ТУ-239</t>
  </si>
  <si>
    <t>Заповед за Одобрен ПУП-ПП или комплексен инвестиционен проект</t>
  </si>
  <si>
    <t>РД-28</t>
  </si>
  <si>
    <t>ТУ-107/12.05.2014</t>
  </si>
  <si>
    <t>46/03.06.2014</t>
  </si>
  <si>
    <t>МАКОС ООД</t>
  </si>
  <si>
    <t>Временни съоръжения в частен имот землището на с. Звъничево</t>
  </si>
  <si>
    <t>3800-21-2/12.06.2014 г.</t>
  </si>
  <si>
    <t>с доклад</t>
  </si>
  <si>
    <t>РС-35</t>
  </si>
  <si>
    <t>ТУ-127/27.05.2014</t>
  </si>
  <si>
    <t>53/27.06.2014</t>
  </si>
  <si>
    <t>Обжалвана</t>
  </si>
  <si>
    <t>5300-33-3</t>
  </si>
  <si>
    <t>Искане за добавяне като съвъзложител ДП НКЖИ в РС-20/21.12.2009</t>
  </si>
  <si>
    <t>ТУ-249/19.11.2014</t>
  </si>
  <si>
    <t>3800-12</t>
  </si>
  <si>
    <t>Ремонт ел. Провод "Сърница"</t>
  </si>
  <si>
    <t>РС-37</t>
  </si>
  <si>
    <t>5300-9</t>
  </si>
  <si>
    <t>ИА "Електронни съобщителни мрежи и информационни ситеми"</t>
  </si>
  <si>
    <t>15/24,02,2015</t>
  </si>
  <si>
    <t>ima</t>
  </si>
  <si>
    <t>ЕВН КЕЦ Велинград</t>
  </si>
  <si>
    <t>14C</t>
  </si>
  <si>
    <t>15С</t>
  </si>
  <si>
    <t>НЕК ЕАД</t>
  </si>
  <si>
    <t>Въздушна линия 20кV "Ливада бачия" в участък от възлова станция 20кV "Яденица" до стълб №18</t>
  </si>
  <si>
    <t>ТУ-146/24.07.2017</t>
  </si>
  <si>
    <t>1101-211</t>
  </si>
  <si>
    <t>ПУП-ПП за трасе на ел. провод 20кВ за 2 броя трафопоста в землище на с. Симеоновец от трафопост в землище на с. Драгиново, община Велинград</t>
  </si>
  <si>
    <t>1101-221</t>
  </si>
  <si>
    <t>Община Пазарджик</t>
  </si>
  <si>
    <t>Депо Пазарджик-Предварително третиране на битови отпъдъци</t>
  </si>
  <si>
    <t>ТУ-220/31.08.2018</t>
  </si>
  <si>
    <t>Комплексен проект за инвестиционна инициатива (проект за ПУП- специализирана ПЛАН- схема и парцеларен план) за трасето на нова оптична кабелна линия на територията на Община Пазарджик и Община Стрелча, и работен проект/ за строеж: " Оптична кабелна линия Пазарджик - Стрелча и селищна мрежа в гр. Стрелча</t>
  </si>
  <si>
    <t>1101-221/30.08.2018</t>
  </si>
  <si>
    <t>РС-38</t>
  </si>
  <si>
    <t>81/02.10.2018</t>
  </si>
  <si>
    <t>9400-139</t>
  </si>
  <si>
    <t>Паметна плоча в курорт "Свети Константин"</t>
  </si>
  <si>
    <t>9400-2</t>
  </si>
  <si>
    <t>Водопровод от съществуващ такъв м. Дъното до имот в землище Дорково</t>
  </si>
  <si>
    <t>Овергаз мрежи АД</t>
  </si>
  <si>
    <t>ПУП-ПП за Трасе на газопровод за с. Синитово и варов завод</t>
  </si>
  <si>
    <t>1700-1</t>
  </si>
  <si>
    <t>Банка ДСК</t>
  </si>
  <si>
    <t>Платформа за хора с увреждания, Велинград, ул. Хан Аспарух №46</t>
  </si>
  <si>
    <t>1981-1/25.04.2019</t>
  </si>
  <si>
    <t>ТУ-105</t>
  </si>
  <si>
    <t>ТУ-120/17.05.2019</t>
  </si>
  <si>
    <t>43/31.05.2019 г.</t>
  </si>
  <si>
    <t>106/10.03.2009 г.
ТУ-198/12.09.2012 г.
ТУ-140/12.06.2019 г.</t>
  </si>
  <si>
    <t>ТУ-271/27.11.2019</t>
  </si>
  <si>
    <t>Атанас Илиев Влашки</t>
  </si>
  <si>
    <t>ПУП-ПП трасе на КЛ НН</t>
  </si>
  <si>
    <t>ТУ-276/04.12.2019</t>
  </si>
  <si>
    <t>ТУ-6/11.01.2019</t>
  </si>
  <si>
    <r>
      <t xml:space="preserve">1.     Път ІІІ-8402, Ветрен дол-Велинград - (І-8) – Септември от км 0+000 до км 4+396.68 </t>
    </r>
    <r>
      <rPr>
        <i/>
        <sz val="12"/>
        <rFont val="Arial Narrow"/>
        <family val="2"/>
      </rPr>
      <t>(от път ІІ-84 до път І-8).</t>
    </r>
  </si>
  <si>
    <r>
      <t xml:space="preserve">2.     Път ІІ-84 (І-8), - Ветрен дол-Велинград-Юндола от км 0+000 до км 54+335.25 </t>
    </r>
    <r>
      <rPr>
        <i/>
        <sz val="12"/>
        <rFont val="Arial Narrow"/>
        <family val="2"/>
      </rPr>
      <t>(</t>
    </r>
    <r>
      <rPr>
        <sz val="12"/>
        <rFont val="Arial Narrow"/>
        <family val="2"/>
      </rPr>
      <t>от път І-8 Белово-Пазарджик</t>
    </r>
    <r>
      <rPr>
        <i/>
        <sz val="12"/>
        <rFont val="Arial Narrow"/>
        <family val="2"/>
      </rPr>
      <t xml:space="preserve"> -Звъничево Ветрен дол-Велинград-Юндола).</t>
    </r>
  </si>
  <si>
    <t>Рехабилитация на път по проект „Транзитни пътища V", Лот 22Б
Участък №3: Път III - 8402 „Варвара - Септември - Злокучене - Карабунар - Виноградец - Царево - Кр. III - 803 от км4+396.68 до км 25+250.00 (От кръстовище с път I - 8 до началото на п.в. Церово на АМ „Тракия")</t>
  </si>
  <si>
    <t>9400-126-2/10.02.2020</t>
  </si>
  <si>
    <t>РД-47</t>
  </si>
  <si>
    <t>ТУ-62/25.03.2020</t>
  </si>
  <si>
    <t>9400-126
9400-126-6</t>
  </si>
  <si>
    <t>РС-39</t>
  </si>
  <si>
    <t>53/12.06.2020</t>
  </si>
  <si>
    <t>1981-1
1974-1</t>
  </si>
  <si>
    <t>Напоителни системи ЕАД</t>
  </si>
  <si>
    <t>Реконструкция на хидротехнически съоръжения,позиция №9, Бошуля, Злокучене, Ковачево и Пищигово</t>
  </si>
  <si>
    <t>РС-40</t>
  </si>
  <si>
    <t>3800-43</t>
  </si>
  <si>
    <t>Нетгард ООД</t>
  </si>
  <si>
    <t>ПУП-ПП оптичен кабел Козарско-Бяга-Брацигово</t>
  </si>
  <si>
    <t>ТУ-135/31.08.2020</t>
  </si>
  <si>
    <t>65/21.07.2020</t>
  </si>
  <si>
    <t>Сотир Ангелов Янчев, Александър Сашков Ангелов</t>
  </si>
  <si>
    <t>9400-2-3/21.10.2020</t>
  </si>
  <si>
    <t>Изотерм Стил ЕООД</t>
  </si>
  <si>
    <t>Рекламно съоръжение тип "Сити лайт"</t>
  </si>
  <si>
    <t>1974-2</t>
  </si>
  <si>
    <t>Електроенергиен системен оператор ЕАД</t>
  </si>
  <si>
    <t>Реконструкция на ВЛ 110 кV "Грамада" от п/ст "Септемврийци" до стълб №77А</t>
  </si>
  <si>
    <t>с доклад за оценка на съответствието</t>
  </si>
  <si>
    <t>РС-41</t>
  </si>
  <si>
    <t>1101-226</t>
  </si>
  <si>
    <t>община Ракитово</t>
  </si>
  <si>
    <t>Реконструкция на външен водопровод в местност "Цигов чарк" от каптаж "Костандово 1 и 2" до събирателна шахта</t>
  </si>
  <si>
    <t>94/03.11.2020</t>
  </si>
  <si>
    <t>РД-173</t>
  </si>
  <si>
    <t>ТУ-201/22.12.2020</t>
  </si>
  <si>
    <t>ТУ-4/04.01.2021</t>
  </si>
  <si>
    <t>1961-1</t>
  </si>
  <si>
    <t>EрЮг</t>
  </si>
  <si>
    <t>Кабелна линия за електрозахранване на ПИ 62004.15.174, землище на гр. Ракитово</t>
  </si>
  <si>
    <t>ТУ-30/08.02.2021</t>
  </si>
  <si>
    <t>3800-16</t>
  </si>
  <si>
    <t>Булсат ЕООД</t>
  </si>
  <si>
    <t>Частично изменение на ОУП на община Брацигово за ПИ 06207.3.350</t>
  </si>
  <si>
    <t>1981-1/13.04.2022</t>
  </si>
  <si>
    <t>община Брацигово</t>
  </si>
  <si>
    <t>Искане за съгласуване изменение на ОУП</t>
  </si>
  <si>
    <t>9400-41</t>
  </si>
  <si>
    <t>Атанас Василев Зааралиев</t>
  </si>
  <si>
    <t>РД-96</t>
  </si>
  <si>
    <t>Пътища АД</t>
  </si>
  <si>
    <t>2469-2</t>
  </si>
  <si>
    <t>Право на прокарване на ел. провод за ПИ 36124.534.163</t>
  </si>
  <si>
    <t>ТУ-117/19.05.2021</t>
  </si>
  <si>
    <t>ТУ-124/26.05.2021</t>
  </si>
  <si>
    <t>РС-42</t>
  </si>
  <si>
    <t>Трасе на линеен обект: „Трасе на подземен електропровод, захранваща ПИ №025095(УПИ ІІ-095) и ПИ №025096(УПИ І-096)-„Фотоволтаична централа” в м. „Ашлама дере” в землище на с. Цар Асен, община Пазарджик от нов ЖР стълб, вграден между стълбове №47 и №48 на ВЛ 20кV „Смилец” от П/С 110/20 кV „Попинци” в землището на с. Свобода, община Стрелча</t>
  </si>
  <si>
    <t>54/29.06.2021</t>
  </si>
  <si>
    <t>3800-40</t>
  </si>
  <si>
    <t>Смарт Корект ЕООД</t>
  </si>
  <si>
    <t>1961-2</t>
  </si>
  <si>
    <t>Кабелна линия за електрозахранване на ПИ 02837.1.172, м. Дъното, землище на гр. Батак</t>
  </si>
  <si>
    <t>ТУ-171/27.07.2021</t>
  </si>
  <si>
    <t>3800-47</t>
  </si>
  <si>
    <t>Сърница-Нет</t>
  </si>
  <si>
    <t>Оптична кабелна мрежа Велинград-Сърница</t>
  </si>
  <si>
    <t>9400-99</t>
  </si>
  <si>
    <t>Борислав Жежев</t>
  </si>
  <si>
    <t>Частично изменение на ОУП на община Брацигово за ПИ 61220.18.439</t>
  </si>
  <si>
    <t>1981-2/03.09.2021</t>
  </si>
  <si>
    <t>ТУ-197</t>
  </si>
  <si>
    <t>ТУ-210/17.09.2021</t>
  </si>
  <si>
    <t>14С</t>
  </si>
  <si>
    <t>1974-1/14.01.2022</t>
  </si>
  <si>
    <t>10/04.02.2022</t>
  </si>
  <si>
    <t>Еуросолар Инвест ООД</t>
  </si>
  <si>
    <t>Трасе на ВЛ 220 кВ Радилово-Главиница</t>
  </si>
  <si>
    <t>ТУ-74/06.04.2022</t>
  </si>
  <si>
    <t>Хийт Проперти ООД</t>
  </si>
  <si>
    <t>Частично изменение на ОУП на община Брацигово за ПИ 61220.61.42</t>
  </si>
  <si>
    <t>1101-97/15.04.2022</t>
  </si>
  <si>
    <t>ТУ-124</t>
  </si>
  <si>
    <t>1
14</t>
  </si>
  <si>
    <t>14.8.2014
19.08.2014</t>
  </si>
  <si>
    <t>1981-1/23.08.2022</t>
  </si>
  <si>
    <t>РС-43</t>
  </si>
  <si>
    <t>Разрешение за изработване на комплексен проект за инвестиционна инициатива по чл. 150 от ЗУТ</t>
  </si>
  <si>
    <t>Разрешение  за изработване на ПУП-ПП чл. 124а, ал.3 от ЗУТ</t>
  </si>
  <si>
    <t>Искане за одобряване на ПУП-Парцеларен план или комплексен инвестиционен проект или идеен поект.</t>
  </si>
  <si>
    <t>Нов присъединителен електропровод 220 kV</t>
  </si>
  <si>
    <t>1961-1-4     1961-1-6</t>
  </si>
  <si>
    <t>8.7.2022       28.10.2022</t>
  </si>
  <si>
    <t>ТУ-240/22.11.2022</t>
  </si>
  <si>
    <t>1974-1</t>
  </si>
  <si>
    <t>Регионално депо за отпадъци Пазарджик -клетка 2</t>
  </si>
  <si>
    <t>1974-1/17.01.2023</t>
  </si>
  <si>
    <t>РС-44</t>
  </si>
  <si>
    <t>18/24.02.2023 г.</t>
  </si>
  <si>
    <t>9200-16</t>
  </si>
  <si>
    <t>община Пещера</t>
  </si>
  <si>
    <t>Съгласуване схема за разполагане на преместваем обект "Открит параклис" в с. Свети Константин - ПИ 87825.506.781</t>
  </si>
  <si>
    <t>Eлектроенергиен системен оператор</t>
  </si>
  <si>
    <t>Реконструкция на ВЛ 110 кV "Грамада" от  стълб №78А до п/ст "Попинци"</t>
  </si>
  <si>
    <t>С два последователни входящи номера.</t>
  </si>
  <si>
    <t>1974-2
1967-1</t>
  </si>
  <si>
    <t>РС-45</t>
  </si>
  <si>
    <t>1961-1-11     1961-1-13</t>
  </si>
  <si>
    <t>5.6.2023       28.6.2023</t>
  </si>
  <si>
    <t>Нов присъединителен въздушен електропровод ВЛ/220 kV</t>
  </si>
  <si>
    <t>9200-151    9200-151-2</t>
  </si>
  <si>
    <t>5.12.2023     12.01.2024</t>
  </si>
  <si>
    <t>община Панагюрище</t>
  </si>
  <si>
    <t>„Водоснабдяване на група Панагюрище от тръбни кладенци при с. Злокучене – реконструкция на водопровода от ОШ „Бошуля“ до ПС ІІІ подем“: подобекти - Участък 1 от ОШ „Бошуля“ до т.42, Участък 2 от т.286 (ШВЗ) до т.292` и Участък 2 от т.292` до ЧР при ПС ІІІ подем</t>
  </si>
  <si>
    <t>РС-46</t>
  </si>
  <si>
    <t>ТУ-146/02.08.2023</t>
  </si>
  <si>
    <t>3800-6/01.02.2024</t>
  </si>
  <si>
    <t>9200-13    9200-13-1</t>
  </si>
  <si>
    <t>31.01.2024     14.02.2024</t>
  </si>
  <si>
    <t>РС-47</t>
  </si>
  <si>
    <t>„Водоснабдяване на група Панагюрище от тръбни кладенци при с. Злокучене – Реконструкция на на ПС І подем до ПС ІІ подем с оптимизация работата на тръбните кладенци“</t>
  </si>
  <si>
    <t>19/05.03.2024</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</si>
</sst>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lt;=9999999]###\-####;\(###\)\ ###\-####"/>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2]dd\ mmmm\ yyyy\ &quot;г.&quot;"/>
    <numFmt numFmtId="179" formatCode="mmm/yyyy"/>
    <numFmt numFmtId="180" formatCode="&quot;Да&quot;;&quot;Да&quot;;&quot;Не&quot;"/>
    <numFmt numFmtId="181" formatCode="&quot;Истина&quot;;&quot; Истина &quot;;&quot; Неистина &quot;"/>
    <numFmt numFmtId="182" formatCode="&quot;Вкл.&quot;;&quot; Вкл. &quot;;&quot; Изкл.&quot;"/>
    <numFmt numFmtId="183" formatCode="[$¥€-2]\ #,##0.00_);[Red]\([$¥€-2]\ #,##0.00\)"/>
  </numFmts>
  <fonts count="49">
    <font>
      <sz val="10"/>
      <name val="Arial"/>
      <family val="0"/>
    </font>
    <font>
      <u val="single"/>
      <sz val="10"/>
      <color indexed="12"/>
      <name val="Arial"/>
      <family val="2"/>
    </font>
    <font>
      <u val="single"/>
      <sz val="10"/>
      <color indexed="36"/>
      <name val="Arial"/>
      <family val="2"/>
    </font>
    <font>
      <b/>
      <sz val="8"/>
      <name val="Tahoma"/>
      <family val="2"/>
    </font>
    <font>
      <sz val="8"/>
      <name val="Tahoma"/>
      <family val="2"/>
    </font>
    <font>
      <b/>
      <sz val="9"/>
      <name val="Segoe UI"/>
      <family val="2"/>
    </font>
    <font>
      <sz val="12"/>
      <name val="Arial Narrow"/>
      <family val="2"/>
    </font>
    <font>
      <i/>
      <sz val="12"/>
      <name val="Arial Narrow"/>
      <family val="2"/>
    </font>
    <font>
      <b/>
      <sz val="12"/>
      <name val="Arial Narrow"/>
      <family val="2"/>
    </font>
    <font>
      <u val="single"/>
      <sz val="12"/>
      <color indexed="12"/>
      <name val="Arial Narrow"/>
      <family val="2"/>
    </font>
    <font>
      <sz val="10"/>
      <name val="Arial Narrow"/>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12"/>
      <color indexed="8"/>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2"/>
      <color rgb="FF000000"/>
      <name val="Arial Narrow"/>
      <family val="2"/>
    </font>
    <font>
      <sz val="12"/>
      <color theme="1"/>
      <name val="Arial Narrow"/>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9" borderId="6" applyNumberFormat="0" applyAlignment="0" applyProtection="0"/>
    <xf numFmtId="0" fontId="38" fillId="29" borderId="2" applyNumberFormat="0" applyAlignment="0" applyProtection="0"/>
    <xf numFmtId="0" fontId="39" fillId="30" borderId="7" applyNumberFormat="0" applyAlignment="0" applyProtection="0"/>
    <xf numFmtId="0" fontId="40" fillId="31" borderId="0" applyNumberFormat="0" applyBorder="0" applyAlignment="0" applyProtection="0"/>
    <xf numFmtId="0" fontId="41" fillId="32"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1" fillId="0" borderId="0" applyNumberFormat="0" applyFill="0" applyBorder="0" applyAlignment="0" applyProtection="0"/>
  </cellStyleXfs>
  <cellXfs count="42">
    <xf numFmtId="0" fontId="0" fillId="0" borderId="0" xfId="0" applyAlignment="1">
      <alignment/>
    </xf>
    <xf numFmtId="0" fontId="6" fillId="0" borderId="10" xfId="0" applyFont="1" applyFill="1" applyBorder="1" applyAlignment="1">
      <alignment/>
    </xf>
    <xf numFmtId="14" fontId="6" fillId="0" borderId="10" xfId="0" applyNumberFormat="1" applyFont="1" applyFill="1" applyBorder="1" applyAlignment="1">
      <alignment/>
    </xf>
    <xf numFmtId="0" fontId="6" fillId="0" borderId="10" xfId="0" applyNumberFormat="1" applyFont="1" applyFill="1" applyBorder="1" applyAlignment="1">
      <alignment wrapText="1"/>
    </xf>
    <xf numFmtId="0" fontId="6" fillId="0" borderId="10" xfId="0" applyFont="1" applyFill="1" applyBorder="1" applyAlignment="1">
      <alignment wrapText="1"/>
    </xf>
    <xf numFmtId="0" fontId="6" fillId="0" borderId="0" xfId="0" applyFont="1" applyFill="1" applyAlignment="1">
      <alignment wrapText="1"/>
    </xf>
    <xf numFmtId="17" fontId="6" fillId="0" borderId="10" xfId="0" applyNumberFormat="1" applyFont="1" applyFill="1" applyBorder="1" applyAlignment="1">
      <alignment/>
    </xf>
    <xf numFmtId="0" fontId="6" fillId="0" borderId="10" xfId="0" applyFont="1" applyFill="1" applyBorder="1" applyAlignment="1">
      <alignment horizontal="justify" wrapText="1"/>
    </xf>
    <xf numFmtId="0" fontId="6" fillId="0" borderId="0" xfId="0" applyFont="1" applyFill="1" applyAlignment="1">
      <alignment horizontal="justify" wrapText="1"/>
    </xf>
    <xf numFmtId="0" fontId="6" fillId="0" borderId="10" xfId="0" applyFont="1" applyFill="1" applyBorder="1" applyAlignment="1">
      <alignment horizontal="justify"/>
    </xf>
    <xf numFmtId="14" fontId="6" fillId="0" borderId="10" xfId="0" applyNumberFormat="1" applyFont="1" applyFill="1" applyBorder="1" applyAlignment="1">
      <alignment wrapText="1"/>
    </xf>
    <xf numFmtId="0" fontId="6" fillId="0" borderId="11" xfId="0" applyFont="1" applyFill="1" applyBorder="1" applyAlignment="1">
      <alignment/>
    </xf>
    <xf numFmtId="0" fontId="6" fillId="0" borderId="0" xfId="0" applyFont="1" applyFill="1" applyAlignment="1">
      <alignment/>
    </xf>
    <xf numFmtId="14" fontId="6" fillId="0" borderId="10" xfId="62" applyNumberFormat="1" applyFont="1" applyFill="1" applyBorder="1" applyAlignment="1" applyProtection="1">
      <alignment/>
      <protection/>
    </xf>
    <xf numFmtId="14" fontId="6" fillId="0" borderId="10" xfId="62" applyNumberFormat="1" applyFont="1" applyFill="1" applyBorder="1" applyAlignment="1" applyProtection="1">
      <alignment wrapText="1"/>
      <protection/>
    </xf>
    <xf numFmtId="0" fontId="8" fillId="0" borderId="10" xfId="0" applyFont="1" applyFill="1" applyBorder="1" applyAlignment="1">
      <alignment/>
    </xf>
    <xf numFmtId="0" fontId="9" fillId="0" borderId="10" xfId="62" applyFont="1" applyFill="1" applyBorder="1" applyAlignment="1" applyProtection="1">
      <alignment/>
      <protection/>
    </xf>
    <xf numFmtId="0" fontId="6"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12" xfId="0" applyFont="1" applyFill="1" applyBorder="1" applyAlignment="1">
      <alignment horizontal="center" wrapText="1"/>
    </xf>
    <xf numFmtId="0" fontId="6" fillId="0" borderId="0" xfId="0" applyNumberFormat="1" applyFont="1" applyFill="1" applyAlignment="1">
      <alignment wrapText="1"/>
    </xf>
    <xf numFmtId="0" fontId="6" fillId="0" borderId="10" xfId="0" applyFont="1" applyFill="1" applyBorder="1" applyAlignment="1">
      <alignment horizontal="left" wrapText="1"/>
    </xf>
    <xf numFmtId="0" fontId="6" fillId="0" borderId="10" xfId="0" applyFont="1" applyFill="1" applyBorder="1" applyAlignment="1" applyProtection="1">
      <alignment/>
      <protection/>
    </xf>
    <xf numFmtId="0" fontId="46" fillId="0" borderId="10" xfId="0" applyFont="1" applyFill="1" applyBorder="1" applyAlignment="1">
      <alignment wrapText="1"/>
    </xf>
    <xf numFmtId="0" fontId="46" fillId="0" borderId="0" xfId="0" applyFont="1" applyFill="1" applyAlignment="1">
      <alignment/>
    </xf>
    <xf numFmtId="0" fontId="9" fillId="0" borderId="10" xfId="62" applyFont="1" applyFill="1" applyBorder="1" applyAlignment="1" applyProtection="1">
      <alignment wrapText="1"/>
      <protection/>
    </xf>
    <xf numFmtId="14" fontId="9" fillId="0" borderId="10" xfId="62" applyNumberFormat="1" applyFont="1" applyFill="1" applyBorder="1" applyAlignment="1" applyProtection="1">
      <alignment/>
      <protection/>
    </xf>
    <xf numFmtId="2" fontId="6" fillId="0" borderId="10" xfId="0" applyNumberFormat="1" applyFont="1" applyFill="1" applyBorder="1" applyAlignment="1">
      <alignment/>
    </xf>
    <xf numFmtId="49" fontId="6" fillId="0" borderId="10" xfId="0" applyNumberFormat="1" applyFont="1" applyFill="1" applyBorder="1" applyAlignment="1">
      <alignment wrapText="1"/>
    </xf>
    <xf numFmtId="14" fontId="6" fillId="0" borderId="10" xfId="0" applyNumberFormat="1" applyFont="1" applyFill="1" applyBorder="1" applyAlignment="1">
      <alignment horizontal="right" wrapText="1"/>
    </xf>
    <xf numFmtId="0" fontId="47" fillId="0" borderId="10" xfId="0" applyFont="1" applyFill="1" applyBorder="1" applyAlignment="1">
      <alignment/>
    </xf>
    <xf numFmtId="14" fontId="47" fillId="0" borderId="10" xfId="0" applyNumberFormat="1" applyFont="1" applyFill="1" applyBorder="1" applyAlignment="1">
      <alignment/>
    </xf>
    <xf numFmtId="0" fontId="10" fillId="0" borderId="10" xfId="0" applyFont="1" applyFill="1" applyBorder="1" applyAlignment="1">
      <alignment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6" fillId="0" borderId="10" xfId="0" applyFont="1" applyFill="1" applyBorder="1" applyAlignment="1">
      <alignment horizontal="center"/>
    </xf>
    <xf numFmtId="0" fontId="6" fillId="0" borderId="14" xfId="0" applyFont="1" applyFill="1" applyBorder="1" applyAlignment="1">
      <alignment horizontal="center"/>
    </xf>
    <xf numFmtId="0" fontId="6" fillId="0" borderId="1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148"/>
  <sheetViews>
    <sheetView tabSelected="1" zoomScale="85" zoomScaleNormal="85" zoomScalePageLayoutView="0" workbookViewId="0" topLeftCell="P1">
      <pane ySplit="3" topLeftCell="A145" activePane="bottomLeft" state="frozen"/>
      <selection pane="topLeft" activeCell="A1" sqref="A1"/>
      <selection pane="bottomLeft" activeCell="V147" sqref="V147"/>
    </sheetView>
  </sheetViews>
  <sheetFormatPr defaultColWidth="9.140625" defaultRowHeight="12.75"/>
  <cols>
    <col min="1" max="1" width="11.140625" style="1" customWidth="1"/>
    <col min="2" max="2" width="18.57421875" style="2" customWidth="1"/>
    <col min="3" max="3" width="37.00390625" style="3" customWidth="1"/>
    <col min="4" max="4" width="41.421875" style="4" customWidth="1"/>
    <col min="5" max="5" width="18.421875" style="4" customWidth="1"/>
    <col min="6" max="6" width="27.00390625" style="4" customWidth="1"/>
    <col min="7" max="7" width="21.28125" style="4" customWidth="1"/>
    <col min="8" max="8" width="11.8515625" style="4" customWidth="1"/>
    <col min="9" max="9" width="18.7109375" style="4" customWidth="1"/>
    <col min="10" max="10" width="19.28125" style="4" customWidth="1"/>
    <col min="11" max="11" width="7.57421875" style="1" customWidth="1"/>
    <col min="12" max="12" width="13.8515625" style="1" customWidth="1"/>
    <col min="13" max="13" width="21.140625" style="1" customWidth="1"/>
    <col min="14" max="14" width="20.140625" style="1" customWidth="1"/>
    <col min="15" max="15" width="14.57421875" style="1" customWidth="1"/>
    <col min="16" max="16" width="14.8515625" style="4" customWidth="1"/>
    <col min="17" max="17" width="20.140625" style="1" customWidth="1"/>
    <col min="18" max="18" width="16.8515625" style="4" customWidth="1"/>
    <col min="19" max="19" width="12.140625" style="1" customWidth="1"/>
    <col min="20" max="20" width="15.8515625" style="1" customWidth="1"/>
    <col min="21" max="21" width="19.421875" style="1" customWidth="1"/>
    <col min="22" max="22" width="15.8515625" style="1" customWidth="1"/>
    <col min="23" max="23" width="19.00390625" style="1" customWidth="1"/>
    <col min="24" max="24" width="9.421875" style="1" customWidth="1"/>
    <col min="25" max="25" width="10.421875" style="1" customWidth="1"/>
    <col min="26" max="26" width="9.140625" style="1" customWidth="1"/>
    <col min="27" max="27" width="14.57421875" style="1" customWidth="1"/>
    <col min="28" max="28" width="9.140625" style="1" customWidth="1"/>
    <col min="29" max="29" width="11.140625" style="1" customWidth="1"/>
    <col min="30" max="30" width="11.28125" style="1" customWidth="1"/>
    <col min="31" max="31" width="20.28125" style="1" customWidth="1"/>
    <col min="32" max="16384" width="9.140625" style="1" customWidth="1"/>
  </cols>
  <sheetData>
    <row r="1" ht="15.75"/>
    <row r="2" spans="1:30" ht="127.5">
      <c r="A2" s="37" t="s">
        <v>0</v>
      </c>
      <c r="B2" s="38"/>
      <c r="C2" s="3" t="s">
        <v>308</v>
      </c>
      <c r="D2" s="4" t="s">
        <v>4</v>
      </c>
      <c r="E2" s="4" t="s">
        <v>305</v>
      </c>
      <c r="F2" s="4" t="s">
        <v>247</v>
      </c>
      <c r="G2" s="4" t="s">
        <v>141</v>
      </c>
      <c r="H2" s="32" t="s">
        <v>533</v>
      </c>
      <c r="I2" s="4" t="s">
        <v>534</v>
      </c>
      <c r="J2" s="4" t="s">
        <v>535</v>
      </c>
      <c r="K2" s="39" t="s">
        <v>267</v>
      </c>
      <c r="L2" s="39"/>
      <c r="M2" s="4" t="s">
        <v>393</v>
      </c>
      <c r="N2" s="17" t="s">
        <v>37</v>
      </c>
      <c r="O2" s="17" t="s">
        <v>358</v>
      </c>
      <c r="P2" s="18" t="s">
        <v>359</v>
      </c>
      <c r="Q2" s="17" t="s">
        <v>267</v>
      </c>
      <c r="R2" s="19" t="s">
        <v>32</v>
      </c>
      <c r="S2" s="33" t="s">
        <v>109</v>
      </c>
      <c r="T2" s="34"/>
      <c r="U2" s="17" t="s">
        <v>37</v>
      </c>
      <c r="V2" s="17" t="s">
        <v>33</v>
      </c>
      <c r="W2" s="19" t="s">
        <v>309</v>
      </c>
      <c r="X2" s="35" t="s">
        <v>156</v>
      </c>
      <c r="Y2" s="36"/>
      <c r="Z2" s="33" t="s">
        <v>71</v>
      </c>
      <c r="AA2" s="40"/>
      <c r="AB2" s="35" t="s">
        <v>228</v>
      </c>
      <c r="AC2" s="34"/>
      <c r="AD2" s="4"/>
    </row>
    <row r="3" spans="1:29" ht="15.75">
      <c r="A3" s="1" t="s">
        <v>1</v>
      </c>
      <c r="B3" s="2" t="s">
        <v>2</v>
      </c>
      <c r="K3" s="1" t="s">
        <v>3</v>
      </c>
      <c r="L3" s="1" t="s">
        <v>2</v>
      </c>
      <c r="R3" s="4" t="s">
        <v>2</v>
      </c>
      <c r="S3" s="1" t="s">
        <v>3</v>
      </c>
      <c r="T3" s="1" t="s">
        <v>2</v>
      </c>
      <c r="U3" s="1" t="s">
        <v>310</v>
      </c>
      <c r="X3" s="1" t="s">
        <v>3</v>
      </c>
      <c r="Y3" s="1" t="s">
        <v>2</v>
      </c>
      <c r="Z3" s="1" t="s">
        <v>3</v>
      </c>
      <c r="AA3" s="1" t="s">
        <v>2</v>
      </c>
      <c r="AB3" s="1" t="s">
        <v>3</v>
      </c>
      <c r="AC3" s="1" t="s">
        <v>2</v>
      </c>
    </row>
    <row r="4" spans="3:23" ht="31.5">
      <c r="C4" s="20" t="s">
        <v>6</v>
      </c>
      <c r="D4" s="21" t="s">
        <v>5</v>
      </c>
      <c r="E4" s="21"/>
      <c r="F4" s="21"/>
      <c r="G4" s="21"/>
      <c r="H4" s="21"/>
      <c r="I4" s="21"/>
      <c r="J4" s="21"/>
      <c r="L4" s="2">
        <f>DATE(2001,9,17)</f>
        <v>37151</v>
      </c>
      <c r="M4" s="2"/>
      <c r="N4" s="2"/>
      <c r="O4" s="2"/>
      <c r="P4" s="10"/>
      <c r="Q4" s="2"/>
      <c r="R4" s="10">
        <f>DATE(2001,9,19)</f>
        <v>37153</v>
      </c>
      <c r="S4" s="1">
        <v>1</v>
      </c>
      <c r="T4" s="2">
        <f>DATE(2001,9,20)</f>
        <v>37154</v>
      </c>
      <c r="U4" s="2"/>
      <c r="V4" s="2"/>
      <c r="W4" s="2"/>
    </row>
    <row r="5" spans="1:25" ht="63">
      <c r="A5" s="1" t="s">
        <v>12</v>
      </c>
      <c r="B5" s="2">
        <f>DATE(2001,11,12)</f>
        <v>37207</v>
      </c>
      <c r="C5" s="3" t="s">
        <v>7</v>
      </c>
      <c r="D5" s="4" t="s">
        <v>8</v>
      </c>
      <c r="K5" s="1">
        <v>615</v>
      </c>
      <c r="L5" s="2">
        <f>DATE(2001,11,27)</f>
        <v>37222</v>
      </c>
      <c r="M5" s="2"/>
      <c r="N5" s="2"/>
      <c r="O5" s="2"/>
      <c r="P5" s="10"/>
      <c r="Q5" s="2"/>
      <c r="R5" s="10">
        <f>DATE(2001,12,2)</f>
        <v>37227</v>
      </c>
      <c r="S5" s="1">
        <v>2</v>
      </c>
      <c r="T5" s="2">
        <f>DATE(2001,12,12)</f>
        <v>37237</v>
      </c>
      <c r="U5" s="2"/>
      <c r="V5" s="2"/>
      <c r="W5" s="2"/>
      <c r="X5" s="22" t="s">
        <v>9</v>
      </c>
      <c r="Y5" s="10">
        <f>DATE(2002,3,17)</f>
        <v>37332</v>
      </c>
    </row>
    <row r="6" spans="1:25" ht="31.5">
      <c r="A6" s="1" t="s">
        <v>13</v>
      </c>
      <c r="B6" s="2">
        <f>DATE(2002,4,3)</f>
        <v>37349</v>
      </c>
      <c r="C6" s="3" t="s">
        <v>14</v>
      </c>
      <c r="D6" s="4" t="s">
        <v>15</v>
      </c>
      <c r="K6" s="1">
        <v>150</v>
      </c>
      <c r="L6" s="2">
        <f>DATE(2002,4,11)</f>
        <v>37357</v>
      </c>
      <c r="M6" s="2"/>
      <c r="N6" s="2"/>
      <c r="O6" s="2"/>
      <c r="P6" s="10"/>
      <c r="Q6" s="2"/>
      <c r="R6" s="10">
        <f>DATE(2002,4,11)</f>
        <v>37357</v>
      </c>
      <c r="S6" s="1">
        <v>3</v>
      </c>
      <c r="T6" s="2">
        <f>DATE(2002,4,25)</f>
        <v>37371</v>
      </c>
      <c r="U6" s="2"/>
      <c r="V6" s="2"/>
      <c r="W6" s="2"/>
      <c r="X6" s="1" t="s">
        <v>16</v>
      </c>
      <c r="Y6" s="2">
        <f>DATE(2003,1,30)</f>
        <v>37651</v>
      </c>
    </row>
    <row r="7" spans="1:23" ht="94.5">
      <c r="A7" s="1" t="s">
        <v>17</v>
      </c>
      <c r="B7" s="2">
        <f>DATE(2003,1,30)</f>
        <v>37651</v>
      </c>
      <c r="C7" s="3" t="s">
        <v>18</v>
      </c>
      <c r="D7" s="4" t="s">
        <v>19</v>
      </c>
      <c r="K7" s="1">
        <v>44</v>
      </c>
      <c r="L7" s="2">
        <f>DATE(2003,2,11)</f>
        <v>37663</v>
      </c>
      <c r="M7" s="2"/>
      <c r="N7" s="2"/>
      <c r="O7" s="2"/>
      <c r="P7" s="10"/>
      <c r="Q7" s="2"/>
      <c r="R7" s="10">
        <f>DATE(2003,2,19)</f>
        <v>37671</v>
      </c>
      <c r="S7" s="1">
        <v>5</v>
      </c>
      <c r="T7" s="2">
        <f>DATE(2003,4,1)</f>
        <v>37712</v>
      </c>
      <c r="U7" s="2"/>
      <c r="V7" s="2"/>
      <c r="W7" s="2"/>
    </row>
    <row r="8" spans="1:23" ht="110.25">
      <c r="A8" s="1" t="s">
        <v>11</v>
      </c>
      <c r="B8" s="2">
        <f>DATE(2002,11,4)</f>
        <v>37564</v>
      </c>
      <c r="C8" s="3" t="s">
        <v>10</v>
      </c>
      <c r="D8" s="4" t="s">
        <v>20</v>
      </c>
      <c r="K8" s="1">
        <v>462</v>
      </c>
      <c r="L8" s="2">
        <f>DATE(2002,11,5)</f>
        <v>37565</v>
      </c>
      <c r="M8" s="2"/>
      <c r="N8" s="2"/>
      <c r="O8" s="2"/>
      <c r="P8" s="10"/>
      <c r="Q8" s="2"/>
      <c r="R8" s="10">
        <f>DATE(2002,11,12)</f>
        <v>37572</v>
      </c>
      <c r="S8" s="1">
        <v>7</v>
      </c>
      <c r="T8" s="2">
        <f>DATE(2003,11,11)</f>
        <v>37936</v>
      </c>
      <c r="U8" s="2"/>
      <c r="V8" s="2"/>
      <c r="W8" s="2"/>
    </row>
    <row r="9" spans="3:23" ht="63">
      <c r="C9" s="3" t="s">
        <v>117</v>
      </c>
      <c r="D9" s="4" t="s">
        <v>118</v>
      </c>
      <c r="L9" s="2"/>
      <c r="M9" s="2"/>
      <c r="N9" s="2"/>
      <c r="O9" s="2"/>
      <c r="P9" s="10"/>
      <c r="Q9" s="2"/>
      <c r="R9" s="10"/>
      <c r="S9" s="1">
        <v>8</v>
      </c>
      <c r="T9" s="2">
        <f>DATE(2005,8,4)</f>
        <v>38568</v>
      </c>
      <c r="U9" s="2"/>
      <c r="V9" s="2"/>
      <c r="W9" s="2"/>
    </row>
    <row r="10" spans="12:23" ht="15.75">
      <c r="L10" s="2"/>
      <c r="M10" s="2"/>
      <c r="N10" s="2"/>
      <c r="O10" s="2"/>
      <c r="P10" s="10"/>
      <c r="Q10" s="2"/>
      <c r="R10" s="10"/>
      <c r="T10" s="2"/>
      <c r="U10" s="2"/>
      <c r="V10" s="2"/>
      <c r="W10" s="2"/>
    </row>
    <row r="11" spans="3:23" ht="110.25">
      <c r="C11" s="3" t="s">
        <v>22</v>
      </c>
      <c r="D11" s="4" t="s">
        <v>21</v>
      </c>
      <c r="K11" s="1">
        <v>206</v>
      </c>
      <c r="L11" s="2">
        <f>DATE(2005,6,21)</f>
        <v>38524</v>
      </c>
      <c r="M11" s="2"/>
      <c r="N11" s="2"/>
      <c r="O11" s="2"/>
      <c r="P11" s="10"/>
      <c r="Q11" s="2"/>
      <c r="R11" s="10">
        <f>DATE(2005,6,28)</f>
        <v>38531</v>
      </c>
      <c r="S11" s="1">
        <v>10</v>
      </c>
      <c r="T11" s="2">
        <f>DATE(2005,11,15)</f>
        <v>38671</v>
      </c>
      <c r="U11" s="2"/>
      <c r="V11" s="2"/>
      <c r="W11" s="2"/>
    </row>
    <row r="12" ht="15.75"/>
    <row r="13" ht="15.75"/>
    <row r="14" ht="15.75"/>
    <row r="15" spans="3:9" ht="63">
      <c r="C15" s="3" t="s">
        <v>23</v>
      </c>
      <c r="D15" s="4" t="s">
        <v>24</v>
      </c>
      <c r="I15" s="4" t="s">
        <v>25</v>
      </c>
    </row>
    <row r="16" spans="3:27" ht="47.25">
      <c r="C16" s="3" t="s">
        <v>26</v>
      </c>
      <c r="D16" s="4" t="s">
        <v>27</v>
      </c>
      <c r="I16" s="10">
        <f>DATE(2006,4,10)</f>
        <v>38817</v>
      </c>
      <c r="J16" s="10"/>
      <c r="R16" s="10">
        <f>DATE(2006,9,8)</f>
        <v>38968</v>
      </c>
      <c r="S16" s="1">
        <v>13</v>
      </c>
      <c r="T16" s="2">
        <f>DATE(2006,9,13)</f>
        <v>38973</v>
      </c>
      <c r="U16" s="2" t="s">
        <v>39</v>
      </c>
      <c r="V16" s="2">
        <f>DATE(2006,10,21)</f>
        <v>39011</v>
      </c>
      <c r="W16" s="2"/>
      <c r="Z16" s="1">
        <v>3</v>
      </c>
      <c r="AA16" s="2">
        <f>DATE(2007,12,13)</f>
        <v>39429</v>
      </c>
    </row>
    <row r="17" spans="1:27" ht="31.5">
      <c r="A17" s="1" t="s">
        <v>79</v>
      </c>
      <c r="B17" s="2">
        <f>DATE(2006,5,30)</f>
        <v>38867</v>
      </c>
      <c r="C17" s="3" t="s">
        <v>80</v>
      </c>
      <c r="D17" s="4" t="s">
        <v>239</v>
      </c>
      <c r="I17" s="10">
        <f>DATE(2006,6,19)</f>
        <v>38887</v>
      </c>
      <c r="J17" s="10"/>
      <c r="R17" s="10"/>
      <c r="T17" s="2"/>
      <c r="U17" s="2"/>
      <c r="V17" s="2"/>
      <c r="W17" s="2"/>
      <c r="AA17" s="2"/>
    </row>
    <row r="18" spans="1:27" ht="31.5">
      <c r="A18" s="1" t="s">
        <v>240</v>
      </c>
      <c r="B18" s="2">
        <f>DATE(2008,1,7)</f>
        <v>39454</v>
      </c>
      <c r="C18" s="3" t="s">
        <v>80</v>
      </c>
      <c r="D18" s="4" t="s">
        <v>241</v>
      </c>
      <c r="I18" s="10">
        <f>DATE(2008,7,14)</f>
        <v>39643</v>
      </c>
      <c r="J18" s="10"/>
      <c r="R18" s="10"/>
      <c r="T18" s="2"/>
      <c r="U18" s="2"/>
      <c r="V18" s="2"/>
      <c r="W18" s="2"/>
      <c r="AA18" s="2"/>
    </row>
    <row r="19" spans="1:23" ht="63">
      <c r="A19" s="1" t="s">
        <v>29</v>
      </c>
      <c r="B19" s="2">
        <f>DATE(2006,7,5)</f>
        <v>38903</v>
      </c>
      <c r="C19" s="3" t="s">
        <v>23</v>
      </c>
      <c r="D19" s="4" t="s">
        <v>28</v>
      </c>
      <c r="I19" s="2">
        <f>DATE(2006,7,21)</f>
        <v>38919</v>
      </c>
      <c r="J19" s="2"/>
      <c r="T19" s="2"/>
      <c r="U19" s="2"/>
      <c r="V19" s="2"/>
      <c r="W19" s="2"/>
    </row>
    <row r="20" spans="1:27" ht="47.25">
      <c r="A20" s="1" t="s">
        <v>30</v>
      </c>
      <c r="B20" s="2">
        <f>DATE(2006,7,20)</f>
        <v>38918</v>
      </c>
      <c r="C20" s="3" t="s">
        <v>31</v>
      </c>
      <c r="D20" s="4" t="s">
        <v>40</v>
      </c>
      <c r="R20" s="10">
        <f>DATE(2006,8,18)</f>
        <v>38947</v>
      </c>
      <c r="S20" s="1">
        <v>12</v>
      </c>
      <c r="T20" s="2">
        <f>DATE(2006,8,25)</f>
        <v>38954</v>
      </c>
      <c r="U20" s="2" t="s">
        <v>38</v>
      </c>
      <c r="V20" s="2">
        <f>DATE(2006,10,4)</f>
        <v>38994</v>
      </c>
      <c r="W20" s="2"/>
      <c r="Z20" s="1">
        <v>1</v>
      </c>
      <c r="AA20" s="2">
        <f>DATE(2007,11,7)</f>
        <v>39393</v>
      </c>
    </row>
    <row r="21" spans="1:10" ht="31.5">
      <c r="A21" s="1" t="s">
        <v>34</v>
      </c>
      <c r="B21" s="2">
        <f>DATE(2006,9,19)</f>
        <v>38979</v>
      </c>
      <c r="C21" s="3" t="s">
        <v>36</v>
      </c>
      <c r="D21" s="4" t="s">
        <v>35</v>
      </c>
      <c r="I21" s="10">
        <f>DATE(2006,9,29)</f>
        <v>38989</v>
      </c>
      <c r="J21" s="10"/>
    </row>
    <row r="22" spans="1:27" ht="78.75">
      <c r="A22" s="1" t="s">
        <v>41</v>
      </c>
      <c r="B22" s="2">
        <f>DATE(2007,1,30)</f>
        <v>39112</v>
      </c>
      <c r="C22" s="3" t="s">
        <v>31</v>
      </c>
      <c r="D22" s="4" t="s">
        <v>42</v>
      </c>
      <c r="I22" s="4" t="s">
        <v>43</v>
      </c>
      <c r="R22" s="10">
        <f>DATE(2007,2,18)</f>
        <v>39131</v>
      </c>
      <c r="S22" s="1">
        <v>14</v>
      </c>
      <c r="T22" s="2">
        <f>DATE(2007,3,15)</f>
        <v>39156</v>
      </c>
      <c r="Z22" s="1">
        <v>2</v>
      </c>
      <c r="AA22" s="2">
        <f>DATE(2007,12,4)</f>
        <v>39420</v>
      </c>
    </row>
    <row r="23" spans="1:4" ht="47.25">
      <c r="A23" s="1" t="s">
        <v>44</v>
      </c>
      <c r="B23" s="2">
        <f>DATE(2007,3,26)</f>
        <v>39167</v>
      </c>
      <c r="C23" s="3" t="s">
        <v>45</v>
      </c>
      <c r="D23" s="4" t="s">
        <v>46</v>
      </c>
    </row>
    <row r="24" spans="1:4" ht="47.25">
      <c r="A24" s="1" t="s">
        <v>47</v>
      </c>
      <c r="B24" s="2">
        <f>DATE(2007,3,26)</f>
        <v>39167</v>
      </c>
      <c r="C24" s="3" t="s">
        <v>45</v>
      </c>
      <c r="D24" s="4" t="s">
        <v>48</v>
      </c>
    </row>
    <row r="25" spans="1:4" ht="63">
      <c r="A25" s="1" t="s">
        <v>49</v>
      </c>
      <c r="B25" s="2">
        <f>DATE(2007,3,26)</f>
        <v>39167</v>
      </c>
      <c r="C25" s="3" t="s">
        <v>45</v>
      </c>
      <c r="D25" s="4" t="s">
        <v>50</v>
      </c>
    </row>
    <row r="26" spans="1:4" ht="63">
      <c r="A26" s="1" t="s">
        <v>51</v>
      </c>
      <c r="B26" s="2">
        <f>DATE(2007,3,26)</f>
        <v>39167</v>
      </c>
      <c r="C26" s="3" t="s">
        <v>45</v>
      </c>
      <c r="D26" s="4" t="s">
        <v>52</v>
      </c>
    </row>
    <row r="27" spans="3:20" ht="31.5">
      <c r="C27" s="3" t="s">
        <v>53</v>
      </c>
      <c r="D27" s="4" t="s">
        <v>54</v>
      </c>
      <c r="S27" s="1">
        <v>15</v>
      </c>
      <c r="T27" s="2">
        <f>DATE(2007,6,2)</f>
        <v>39235</v>
      </c>
    </row>
    <row r="28" spans="1:20" ht="63">
      <c r="A28" s="1" t="s">
        <v>55</v>
      </c>
      <c r="B28" s="2">
        <f>DATE(2007,4,17)</f>
        <v>39189</v>
      </c>
      <c r="C28" s="3" t="s">
        <v>56</v>
      </c>
      <c r="D28" s="4" t="s">
        <v>57</v>
      </c>
      <c r="H28" s="4" t="s">
        <v>58</v>
      </c>
      <c r="T28" s="2"/>
    </row>
    <row r="29" spans="1:20" ht="63">
      <c r="A29" s="1" t="s">
        <v>59</v>
      </c>
      <c r="B29" s="2">
        <f>DATE(2007,6,11)</f>
        <v>39244</v>
      </c>
      <c r="C29" s="3" t="s">
        <v>60</v>
      </c>
      <c r="D29" s="4" t="s">
        <v>61</v>
      </c>
      <c r="S29" s="4" t="s">
        <v>62</v>
      </c>
      <c r="T29" s="2">
        <f>DATE(2007,4,24)</f>
        <v>39196</v>
      </c>
    </row>
    <row r="30" spans="1:8" ht="63">
      <c r="A30" s="1" t="s">
        <v>63</v>
      </c>
      <c r="B30" s="2">
        <f>DATE(2007,7,19)</f>
        <v>39282</v>
      </c>
      <c r="C30" s="3" t="s">
        <v>64</v>
      </c>
      <c r="D30" s="4" t="s">
        <v>65</v>
      </c>
      <c r="H30" s="4" t="s">
        <v>69</v>
      </c>
    </row>
    <row r="31" spans="3:20" ht="31.5">
      <c r="C31" s="3" t="s">
        <v>129</v>
      </c>
      <c r="D31" s="4" t="s">
        <v>307</v>
      </c>
      <c r="S31" s="1">
        <v>16</v>
      </c>
      <c r="T31" s="2">
        <f>DATE(2007,8,28)</f>
        <v>39322</v>
      </c>
    </row>
    <row r="32" spans="1:27" ht="110.25">
      <c r="A32" s="1" t="s">
        <v>66</v>
      </c>
      <c r="B32" s="2">
        <f>DATE(2007,9,5)</f>
        <v>39330</v>
      </c>
      <c r="C32" s="3" t="s">
        <v>26</v>
      </c>
      <c r="D32" s="4" t="s">
        <v>67</v>
      </c>
      <c r="I32" s="4" t="s">
        <v>68</v>
      </c>
      <c r="L32" s="2"/>
      <c r="S32" s="1">
        <v>17</v>
      </c>
      <c r="T32" s="2">
        <f>DATE(2007,9,21)</f>
        <v>39346</v>
      </c>
      <c r="U32" s="1" t="s">
        <v>70</v>
      </c>
      <c r="V32" s="2">
        <f>DATE(2007,10,29)</f>
        <v>39384</v>
      </c>
      <c r="W32" s="2"/>
      <c r="Z32" s="1">
        <v>4</v>
      </c>
      <c r="AA32" s="2">
        <f>DATE(2008,12,18)</f>
        <v>39800</v>
      </c>
    </row>
    <row r="33" spans="1:17" ht="78.75">
      <c r="A33" s="1" t="s">
        <v>74</v>
      </c>
      <c r="B33" s="2">
        <f>DATE(2008,1,17)</f>
        <v>39464</v>
      </c>
      <c r="C33" s="3" t="s">
        <v>75</v>
      </c>
      <c r="D33" s="4" t="s">
        <v>76</v>
      </c>
      <c r="I33" s="4" t="s">
        <v>77</v>
      </c>
      <c r="J33" s="4" t="s">
        <v>78</v>
      </c>
      <c r="K33" s="1">
        <v>170</v>
      </c>
      <c r="L33" s="2">
        <f>DATE(2008,5,20)</f>
        <v>39588</v>
      </c>
      <c r="M33" s="4" t="s">
        <v>81</v>
      </c>
      <c r="N33" s="4"/>
      <c r="O33" s="4"/>
      <c r="Q33" s="4"/>
    </row>
    <row r="34" spans="2:27" ht="31.5">
      <c r="B34" s="2">
        <f>DATE(2008,9,24)</f>
        <v>39715</v>
      </c>
      <c r="C34" s="3" t="s">
        <v>53</v>
      </c>
      <c r="D34" s="4" t="s">
        <v>82</v>
      </c>
      <c r="S34" s="1">
        <v>18</v>
      </c>
      <c r="T34" s="2">
        <f>DATE(2008,9,24)</f>
        <v>39715</v>
      </c>
      <c r="Z34" s="1">
        <v>5</v>
      </c>
      <c r="AA34" s="2">
        <v>39800</v>
      </c>
    </row>
    <row r="35" spans="1:23" ht="126">
      <c r="A35" s="1" t="s">
        <v>83</v>
      </c>
      <c r="B35" s="2">
        <f>DATE(2008,9,25)</f>
        <v>39716</v>
      </c>
      <c r="C35" s="3" t="s">
        <v>84</v>
      </c>
      <c r="D35" s="4" t="s">
        <v>85</v>
      </c>
      <c r="R35" s="10">
        <f>DATE(2008,9,26)</f>
        <v>39717</v>
      </c>
      <c r="S35" s="1">
        <v>19</v>
      </c>
      <c r="T35" s="10">
        <f>DATE(2008,9,29)</f>
        <v>39720</v>
      </c>
      <c r="W35" s="4" t="s">
        <v>444</v>
      </c>
    </row>
    <row r="36" spans="1:20" ht="126">
      <c r="A36" s="1" t="s">
        <v>89</v>
      </c>
      <c r="B36" s="2">
        <f>DATE(2008,9,10)</f>
        <v>39701</v>
      </c>
      <c r="C36" s="3" t="s">
        <v>90</v>
      </c>
      <c r="D36" s="4" t="s">
        <v>91</v>
      </c>
      <c r="I36" s="4" t="s">
        <v>92</v>
      </c>
      <c r="M36" s="10" t="s">
        <v>210</v>
      </c>
      <c r="N36" s="10"/>
      <c r="O36" s="10"/>
      <c r="P36" s="10"/>
      <c r="Q36" s="10"/>
      <c r="R36" s="10"/>
      <c r="S36" s="1">
        <v>25</v>
      </c>
      <c r="T36" s="10">
        <f>DATE(2011,11,30)</f>
        <v>40877</v>
      </c>
    </row>
    <row r="37" spans="1:20" ht="31.5">
      <c r="A37" s="1" t="s">
        <v>185</v>
      </c>
      <c r="B37" s="2">
        <f>DATE(2011,7,29)</f>
        <v>40753</v>
      </c>
      <c r="C37" s="3" t="s">
        <v>90</v>
      </c>
      <c r="D37" s="4" t="s">
        <v>186</v>
      </c>
      <c r="J37" s="4" t="s">
        <v>187</v>
      </c>
      <c r="K37" s="1" t="s">
        <v>209</v>
      </c>
      <c r="L37" s="2">
        <f>DATE(2011,8,1)</f>
        <v>40756</v>
      </c>
      <c r="R37" s="10"/>
      <c r="T37" s="10"/>
    </row>
    <row r="38" spans="1:10" ht="31.5">
      <c r="A38" s="1" t="s">
        <v>86</v>
      </c>
      <c r="B38" s="2">
        <f>DATE(2008,11,6)</f>
        <v>39758</v>
      </c>
      <c r="C38" s="3" t="s">
        <v>87</v>
      </c>
      <c r="D38" s="4" t="s">
        <v>88</v>
      </c>
      <c r="J38" s="10">
        <f>DATE(2011,3,7)</f>
        <v>40609</v>
      </c>
    </row>
    <row r="39" spans="1:29" ht="78.75">
      <c r="A39" s="1" t="s">
        <v>93</v>
      </c>
      <c r="B39" s="2">
        <f>DATE(2008,12,8)</f>
        <v>39790</v>
      </c>
      <c r="C39" s="3" t="s">
        <v>94</v>
      </c>
      <c r="D39" s="4" t="s">
        <v>95</v>
      </c>
      <c r="J39" s="4" t="s">
        <v>166</v>
      </c>
      <c r="K39" s="1" t="s">
        <v>169</v>
      </c>
      <c r="L39" s="2">
        <f>DATE(2011,4,18)</f>
        <v>40651</v>
      </c>
      <c r="M39" s="1" t="s">
        <v>170</v>
      </c>
      <c r="N39" s="5" t="s">
        <v>243</v>
      </c>
      <c r="O39" s="5"/>
      <c r="P39" s="5"/>
      <c r="Q39" s="1" t="s">
        <v>268</v>
      </c>
      <c r="R39" s="2">
        <f>DATE(2013,1,7)</f>
        <v>41281</v>
      </c>
      <c r="S39" s="1">
        <v>30</v>
      </c>
      <c r="T39" s="2">
        <f>DATE(2013,1,7)</f>
        <v>41281</v>
      </c>
      <c r="U39" s="6" t="s">
        <v>248</v>
      </c>
      <c r="V39" s="2">
        <f>DATE(2013,2,6)</f>
        <v>41311</v>
      </c>
      <c r="W39" s="2"/>
      <c r="Z39" s="4" t="s">
        <v>529</v>
      </c>
      <c r="AA39" s="10" t="s">
        <v>530</v>
      </c>
      <c r="AB39" s="4" t="s">
        <v>529</v>
      </c>
      <c r="AC39" s="10" t="s">
        <v>530</v>
      </c>
    </row>
    <row r="40" spans="1:18" ht="78.75">
      <c r="A40" s="1" t="s">
        <v>96</v>
      </c>
      <c r="B40" s="2">
        <f>DATE(2009,2,17)</f>
        <v>39861</v>
      </c>
      <c r="C40" s="3" t="s">
        <v>97</v>
      </c>
      <c r="D40" s="4" t="s">
        <v>98</v>
      </c>
      <c r="M40" s="4" t="s">
        <v>238</v>
      </c>
      <c r="R40" s="10">
        <f>DATE(2009,3,4)</f>
        <v>39876</v>
      </c>
    </row>
    <row r="41" spans="1:18" ht="15.75">
      <c r="A41" s="1" t="s">
        <v>99</v>
      </c>
      <c r="B41" s="2">
        <f>DATE(2009,6,16)</f>
        <v>39980</v>
      </c>
      <c r="C41" s="3" t="s">
        <v>97</v>
      </c>
      <c r="D41" s="4" t="s">
        <v>100</v>
      </c>
      <c r="R41" s="10">
        <f>DATE(2009,6,17)</f>
        <v>39981</v>
      </c>
    </row>
    <row r="42" spans="1:10" ht="47.25">
      <c r="A42" s="1" t="s">
        <v>72</v>
      </c>
      <c r="B42" s="2">
        <f>DATE(2007,11,6)</f>
        <v>39392</v>
      </c>
      <c r="C42" s="3" t="s">
        <v>306</v>
      </c>
      <c r="D42" s="4" t="s">
        <v>73</v>
      </c>
      <c r="I42" s="10">
        <f>DATE(2007,12,4)</f>
        <v>39420</v>
      </c>
      <c r="J42" s="10"/>
    </row>
    <row r="43" spans="1:27" ht="126">
      <c r="A43" s="1" t="s">
        <v>99</v>
      </c>
      <c r="B43" s="2">
        <f>DATE(2009,6,15)</f>
        <v>39979</v>
      </c>
      <c r="C43" s="3" t="s">
        <v>306</v>
      </c>
      <c r="D43" s="4" t="s">
        <v>73</v>
      </c>
      <c r="I43" s="4" t="s">
        <v>101</v>
      </c>
      <c r="R43" s="10" t="s">
        <v>102</v>
      </c>
      <c r="S43" s="1" t="s">
        <v>220</v>
      </c>
      <c r="T43" s="2">
        <v>39988</v>
      </c>
      <c r="Z43" s="1" t="s">
        <v>229</v>
      </c>
      <c r="AA43" s="2">
        <f>DATE(2012,6,5)</f>
        <v>41065</v>
      </c>
    </row>
    <row r="44" spans="1:27" ht="47.25">
      <c r="A44" s="1" t="s">
        <v>103</v>
      </c>
      <c r="B44" s="2">
        <f>DATE(2009,11,17)</f>
        <v>40134</v>
      </c>
      <c r="C44" s="3" t="s">
        <v>108</v>
      </c>
      <c r="D44" s="4" t="s">
        <v>104</v>
      </c>
      <c r="Z44" s="1" t="s">
        <v>110</v>
      </c>
      <c r="AA44" s="2">
        <f>DATE(2009,11,20)</f>
        <v>40137</v>
      </c>
    </row>
    <row r="45" spans="4:27" ht="15.75">
      <c r="D45" s="4" t="s">
        <v>105</v>
      </c>
      <c r="Z45" s="1" t="s">
        <v>111</v>
      </c>
      <c r="AA45" s="2">
        <f>DATE(2009,11,20)</f>
        <v>40137</v>
      </c>
    </row>
    <row r="46" spans="4:27" ht="15.75">
      <c r="D46" s="4" t="s">
        <v>106</v>
      </c>
      <c r="Z46" s="1" t="s">
        <v>112</v>
      </c>
      <c r="AA46" s="2">
        <f>DATE(2009,11,20)</f>
        <v>40137</v>
      </c>
    </row>
    <row r="47" spans="4:27" ht="15.75">
      <c r="D47" s="4" t="s">
        <v>107</v>
      </c>
      <c r="Z47" s="1" t="s">
        <v>113</v>
      </c>
      <c r="AA47" s="2">
        <f>DATE(2009,11,20)</f>
        <v>40137</v>
      </c>
    </row>
    <row r="48" spans="1:20" ht="47.25">
      <c r="A48" s="12" t="s">
        <v>114</v>
      </c>
      <c r="B48" s="2">
        <f>DATE(2009,12,16)</f>
        <v>40163</v>
      </c>
      <c r="C48" s="3" t="s">
        <v>115</v>
      </c>
      <c r="D48" s="7" t="s">
        <v>116</v>
      </c>
      <c r="E48" s="7"/>
      <c r="F48" s="8"/>
      <c r="G48" s="9"/>
      <c r="T48" s="2"/>
    </row>
    <row r="49" spans="4:27" ht="63">
      <c r="D49" s="7" t="s">
        <v>450</v>
      </c>
      <c r="E49" s="7"/>
      <c r="F49" s="7"/>
      <c r="G49" s="9"/>
      <c r="R49" s="10">
        <f>DATE(2009,12,18)</f>
        <v>40165</v>
      </c>
      <c r="S49" s="12" t="s">
        <v>220</v>
      </c>
      <c r="T49" s="2">
        <f>DATE(2009,12,21)</f>
        <v>40168</v>
      </c>
      <c r="U49" s="12" t="s">
        <v>315</v>
      </c>
      <c r="V49" s="2">
        <f>DATE(2010,1,25)</f>
        <v>40203</v>
      </c>
      <c r="Z49" s="12" t="s">
        <v>367</v>
      </c>
      <c r="AA49" s="2">
        <f>DATE(2014,1,20)</f>
        <v>41659</v>
      </c>
    </row>
    <row r="50" spans="4:27" ht="78.75">
      <c r="D50" s="7" t="s">
        <v>451</v>
      </c>
      <c r="E50" s="7"/>
      <c r="F50" s="7"/>
      <c r="G50" s="9"/>
      <c r="Q50" s="1" t="s">
        <v>313</v>
      </c>
      <c r="R50" s="10"/>
      <c r="Z50" s="12" t="s">
        <v>368</v>
      </c>
      <c r="AA50" s="2">
        <f>DATE(2014,1,20)</f>
        <v>41659</v>
      </c>
    </row>
    <row r="51" spans="1:23" ht="47.25">
      <c r="A51" s="12" t="s">
        <v>321</v>
      </c>
      <c r="B51" s="2">
        <f>DATE(2012,11,2)</f>
        <v>41215</v>
      </c>
      <c r="C51" s="3" t="s">
        <v>322</v>
      </c>
      <c r="D51" s="7" t="s">
        <v>326</v>
      </c>
      <c r="E51" s="7"/>
      <c r="F51" s="7"/>
      <c r="G51" s="9"/>
      <c r="R51" s="10"/>
      <c r="W51" s="12" t="s">
        <v>323</v>
      </c>
    </row>
    <row r="52" spans="1:23" ht="47.25">
      <c r="A52" s="12" t="s">
        <v>316</v>
      </c>
      <c r="B52" s="2">
        <f>DATE(2013,4,1)</f>
        <v>41365</v>
      </c>
      <c r="C52" s="3" t="s">
        <v>311</v>
      </c>
      <c r="D52" s="7" t="s">
        <v>317</v>
      </c>
      <c r="E52" s="7"/>
      <c r="F52" s="7"/>
      <c r="G52" s="9"/>
      <c r="R52" s="10"/>
      <c r="W52" s="12" t="s">
        <v>318</v>
      </c>
    </row>
    <row r="53" spans="1:23" ht="47.25">
      <c r="A53" s="12" t="s">
        <v>319</v>
      </c>
      <c r="B53" s="2">
        <f>DATE(2013,6,7)</f>
        <v>41432</v>
      </c>
      <c r="C53" s="3" t="s">
        <v>311</v>
      </c>
      <c r="D53" s="7" t="s">
        <v>317</v>
      </c>
      <c r="E53" s="7"/>
      <c r="F53" s="7"/>
      <c r="G53" s="9"/>
      <c r="R53" s="10"/>
      <c r="W53" s="12" t="s">
        <v>320</v>
      </c>
    </row>
    <row r="54" spans="1:27" ht="110.25">
      <c r="A54" s="12" t="s">
        <v>221</v>
      </c>
      <c r="B54" s="2">
        <f>DATE(2012,2,10)</f>
        <v>40949</v>
      </c>
      <c r="C54" s="3" t="s">
        <v>311</v>
      </c>
      <c r="D54" s="7" t="s">
        <v>312</v>
      </c>
      <c r="E54" s="7"/>
      <c r="F54" s="7"/>
      <c r="G54" s="9"/>
      <c r="Q54" s="1" t="s">
        <v>313</v>
      </c>
      <c r="R54" s="10">
        <f>DATE(2013,3,16)</f>
        <v>41349</v>
      </c>
      <c r="S54" s="12" t="s">
        <v>314</v>
      </c>
      <c r="T54" s="2">
        <f>DATE(2012,3,20)</f>
        <v>40988</v>
      </c>
      <c r="U54" s="12" t="s">
        <v>283</v>
      </c>
      <c r="V54" s="2">
        <f>DATE(2012,7,13)</f>
        <v>41103</v>
      </c>
      <c r="Z54" s="1" t="s">
        <v>416</v>
      </c>
      <c r="AA54" s="2">
        <f>DATE(2015,11,2)</f>
        <v>42310</v>
      </c>
    </row>
    <row r="55" spans="1:27" ht="47.25">
      <c r="A55" s="12" t="s">
        <v>324</v>
      </c>
      <c r="B55" s="2">
        <f>DATE(2013,6,7)</f>
        <v>41432</v>
      </c>
      <c r="C55" s="3" t="s">
        <v>311</v>
      </c>
      <c r="D55" s="7" t="s">
        <v>325</v>
      </c>
      <c r="E55" s="7"/>
      <c r="F55" s="7"/>
      <c r="G55" s="9"/>
      <c r="R55" s="10"/>
      <c r="T55" s="2"/>
      <c r="V55" s="2"/>
      <c r="W55" s="12" t="s">
        <v>327</v>
      </c>
      <c r="Z55" s="1" t="s">
        <v>417</v>
      </c>
      <c r="AA55" s="2">
        <f>DATE(2015,11,2)</f>
        <v>42310</v>
      </c>
    </row>
    <row r="56" spans="1:23" ht="47.25">
      <c r="A56" s="12" t="s">
        <v>328</v>
      </c>
      <c r="B56" s="2">
        <f>DATE(2013,6,24)</f>
        <v>41449</v>
      </c>
      <c r="C56" s="3" t="s">
        <v>311</v>
      </c>
      <c r="D56" s="7" t="s">
        <v>329</v>
      </c>
      <c r="E56" s="7"/>
      <c r="F56" s="7"/>
      <c r="G56" s="9"/>
      <c r="R56" s="10"/>
      <c r="T56" s="2"/>
      <c r="V56" s="2"/>
      <c r="W56" s="12" t="s">
        <v>330</v>
      </c>
    </row>
    <row r="57" spans="1:23" ht="47.25">
      <c r="A57" s="12" t="s">
        <v>405</v>
      </c>
      <c r="B57" s="2">
        <f>DATE(2014,11,17)</f>
        <v>41960</v>
      </c>
      <c r="C57" s="3" t="s">
        <v>311</v>
      </c>
      <c r="D57" s="7" t="s">
        <v>406</v>
      </c>
      <c r="E57" s="7"/>
      <c r="F57" s="7"/>
      <c r="G57" s="9"/>
      <c r="R57" s="10"/>
      <c r="T57" s="2"/>
      <c r="V57" s="2"/>
      <c r="W57" s="12" t="s">
        <v>407</v>
      </c>
    </row>
    <row r="58" spans="1:4" ht="63">
      <c r="A58" s="1" t="s">
        <v>193</v>
      </c>
      <c r="B58" s="2">
        <f>DATE(2011,7,20)</f>
        <v>40744</v>
      </c>
      <c r="C58" s="3" t="s">
        <v>194</v>
      </c>
      <c r="D58" s="4" t="s">
        <v>195</v>
      </c>
    </row>
    <row r="59" spans="1:20" ht="63">
      <c r="A59" s="1" t="s">
        <v>201</v>
      </c>
      <c r="B59" s="2">
        <f>DATE(2011,9,13)</f>
        <v>40799</v>
      </c>
      <c r="C59" s="3" t="s">
        <v>202</v>
      </c>
      <c r="D59" s="4" t="s">
        <v>195</v>
      </c>
      <c r="S59" s="1">
        <v>22</v>
      </c>
      <c r="T59" s="1" t="s">
        <v>200</v>
      </c>
    </row>
    <row r="60" spans="1:9" ht="157.5">
      <c r="A60" s="1" t="s">
        <v>119</v>
      </c>
      <c r="B60" s="2">
        <f>DATE(2009,12,22)</f>
        <v>40169</v>
      </c>
      <c r="C60" s="3" t="s">
        <v>26</v>
      </c>
      <c r="D60" s="23" t="s">
        <v>120</v>
      </c>
      <c r="E60" s="23"/>
      <c r="F60" s="23"/>
      <c r="G60" s="23"/>
      <c r="I60" s="4" t="s">
        <v>121</v>
      </c>
    </row>
    <row r="61" spans="1:25" ht="126">
      <c r="A61" s="1" t="s">
        <v>122</v>
      </c>
      <c r="B61" s="2">
        <f>DATE(2010,2,15)</f>
        <v>40224</v>
      </c>
      <c r="C61" s="3" t="s">
        <v>125</v>
      </c>
      <c r="D61" s="4" t="s">
        <v>123</v>
      </c>
      <c r="H61" s="10">
        <v>40301</v>
      </c>
      <c r="I61" s="4" t="s">
        <v>124</v>
      </c>
      <c r="J61" s="10">
        <f>DATE(2010,4,29)</f>
        <v>40297</v>
      </c>
      <c r="M61" s="1" t="s">
        <v>155</v>
      </c>
      <c r="S61" s="1">
        <v>21</v>
      </c>
      <c r="T61" s="2">
        <f>DATE(2010,5,11)</f>
        <v>40309</v>
      </c>
      <c r="X61" s="1" t="s">
        <v>157</v>
      </c>
      <c r="Y61" s="2">
        <f>DATE(2010,2,3)</f>
        <v>40212</v>
      </c>
    </row>
    <row r="62" spans="1:25" ht="126">
      <c r="A62" s="11" t="s">
        <v>138</v>
      </c>
      <c r="B62" s="2">
        <f>DATE(2011,7,21)</f>
        <v>40745</v>
      </c>
      <c r="C62" s="3" t="s">
        <v>189</v>
      </c>
      <c r="D62" s="4" t="s">
        <v>190</v>
      </c>
      <c r="G62" s="4" t="s">
        <v>191</v>
      </c>
      <c r="H62" s="10"/>
      <c r="J62" s="10"/>
      <c r="T62" s="2"/>
      <c r="Y62" s="2"/>
    </row>
    <row r="63" spans="1:29" ht="94.5">
      <c r="A63" s="24" t="s">
        <v>126</v>
      </c>
      <c r="B63" s="2">
        <f>DATE(2010,4,23)</f>
        <v>40291</v>
      </c>
      <c r="C63" s="3" t="s">
        <v>45</v>
      </c>
      <c r="D63" s="4" t="s">
        <v>127</v>
      </c>
      <c r="I63" s="4" t="s">
        <v>128</v>
      </c>
      <c r="J63" s="4" t="s">
        <v>269</v>
      </c>
      <c r="K63" s="1" t="s">
        <v>154</v>
      </c>
      <c r="L63" s="2">
        <f>DATE(2011,1,12)</f>
        <v>40555</v>
      </c>
      <c r="M63" s="4" t="s">
        <v>270</v>
      </c>
      <c r="N63" s="4" t="s">
        <v>271</v>
      </c>
      <c r="O63" s="4"/>
      <c r="Q63" s="4" t="s">
        <v>272</v>
      </c>
      <c r="R63" s="10">
        <f>DATE(2011,8,17)</f>
        <v>40772</v>
      </c>
      <c r="S63" s="1">
        <v>23</v>
      </c>
      <c r="T63" s="2">
        <f>DATE(2011,8,23)</f>
        <v>40778</v>
      </c>
      <c r="U63" s="1" t="s">
        <v>227</v>
      </c>
      <c r="V63" s="2">
        <f>DATE(2011,9,17)</f>
        <v>40803</v>
      </c>
      <c r="W63" s="2"/>
      <c r="Z63" s="1">
        <v>6</v>
      </c>
      <c r="AA63" s="2">
        <f>DATE(2012,5,21)</f>
        <v>41050</v>
      </c>
      <c r="AB63" s="1">
        <v>1</v>
      </c>
      <c r="AC63" s="2">
        <f>DATE(2012,7,13)</f>
        <v>41103</v>
      </c>
    </row>
    <row r="64" spans="1:19" ht="47.25">
      <c r="A64" s="1" t="s">
        <v>130</v>
      </c>
      <c r="B64" s="2">
        <f>DATE(2010,6,3)</f>
        <v>40332</v>
      </c>
      <c r="C64" s="3" t="s">
        <v>131</v>
      </c>
      <c r="D64" s="4" t="s">
        <v>132</v>
      </c>
      <c r="M64" s="1" t="s">
        <v>133</v>
      </c>
      <c r="R64" s="10">
        <f>DATE(2010,6,8)</f>
        <v>40337</v>
      </c>
      <c r="S64" s="1" t="s">
        <v>134</v>
      </c>
    </row>
    <row r="65" spans="1:9" ht="15.75">
      <c r="A65" s="1" t="s">
        <v>135</v>
      </c>
      <c r="B65" s="2">
        <f>DATE(2010,8,16)</f>
        <v>40406</v>
      </c>
      <c r="C65" s="3" t="s">
        <v>136</v>
      </c>
      <c r="D65" s="4" t="s">
        <v>137</v>
      </c>
      <c r="I65" s="10">
        <f>DATE(2010,9,3)</f>
        <v>40424</v>
      </c>
    </row>
    <row r="66" spans="1:29" ht="63">
      <c r="A66" s="1" t="s">
        <v>142</v>
      </c>
      <c r="B66" s="2">
        <f>DATE(2010,4,23)</f>
        <v>40291</v>
      </c>
      <c r="C66" s="3" t="s">
        <v>45</v>
      </c>
      <c r="D66" s="4" t="s">
        <v>143</v>
      </c>
      <c r="I66" s="10">
        <f>DATE(2010,5,11)</f>
        <v>40309</v>
      </c>
      <c r="J66" s="10">
        <f>DATE(2010,8,17)</f>
        <v>40407</v>
      </c>
      <c r="K66" s="1" t="s">
        <v>154</v>
      </c>
      <c r="L66" s="2">
        <f>DATE(2011,1,12)</f>
        <v>40555</v>
      </c>
      <c r="M66" s="4" t="s">
        <v>199</v>
      </c>
      <c r="N66" s="4" t="s">
        <v>231</v>
      </c>
      <c r="O66" s="4"/>
      <c r="Q66" s="4"/>
      <c r="R66" s="10">
        <f>DATE(2011,8,17)</f>
        <v>40772</v>
      </c>
      <c r="S66" s="1">
        <v>23</v>
      </c>
      <c r="T66" s="2">
        <f>DATE(2011,8,23)</f>
        <v>40778</v>
      </c>
      <c r="U66" s="1" t="s">
        <v>232</v>
      </c>
      <c r="V66" s="2">
        <f>DATE(2011,9,17)</f>
        <v>40803</v>
      </c>
      <c r="W66" s="2"/>
      <c r="Z66" s="1">
        <v>6</v>
      </c>
      <c r="AA66" s="2">
        <f>DATE(2012,7,13)</f>
        <v>41103</v>
      </c>
      <c r="AB66" s="1">
        <v>1</v>
      </c>
      <c r="AC66" s="2">
        <f>DATE(2012,7,13)</f>
        <v>41103</v>
      </c>
    </row>
    <row r="67" spans="1:7" ht="47.25">
      <c r="A67" s="1" t="s">
        <v>138</v>
      </c>
      <c r="B67" s="2">
        <f>DATE(2010,9,9)</f>
        <v>40430</v>
      </c>
      <c r="C67" s="3" t="s">
        <v>139</v>
      </c>
      <c r="D67" s="4" t="s">
        <v>140</v>
      </c>
      <c r="G67" s="4" t="s">
        <v>144</v>
      </c>
    </row>
    <row r="68" spans="1:7" ht="47.25">
      <c r="A68" s="1" t="s">
        <v>145</v>
      </c>
      <c r="B68" s="2">
        <f>DATE(2010,9,17)</f>
        <v>40438</v>
      </c>
      <c r="C68" s="3" t="s">
        <v>146</v>
      </c>
      <c r="D68" s="4" t="s">
        <v>147</v>
      </c>
      <c r="G68" s="4" t="s">
        <v>153</v>
      </c>
    </row>
    <row r="69" spans="1:23" ht="126">
      <c r="A69" s="1" t="s">
        <v>148</v>
      </c>
      <c r="B69" s="2">
        <f>DATE(2010,11,8)</f>
        <v>40490</v>
      </c>
      <c r="C69" s="3" t="s">
        <v>149</v>
      </c>
      <c r="D69" s="4" t="s">
        <v>150</v>
      </c>
      <c r="I69" s="4" t="s">
        <v>151</v>
      </c>
      <c r="J69" s="4" t="s">
        <v>152</v>
      </c>
      <c r="K69" s="1">
        <v>371</v>
      </c>
      <c r="L69" s="2">
        <f>DATE(2010,12,22)</f>
        <v>40534</v>
      </c>
      <c r="M69" s="4" t="s">
        <v>162</v>
      </c>
      <c r="N69" s="4"/>
      <c r="O69" s="4"/>
      <c r="Q69" s="4"/>
      <c r="R69" s="10">
        <f>DATE(2011,3,11)</f>
        <v>40613</v>
      </c>
      <c r="T69" s="2"/>
      <c r="V69" s="2">
        <f>DATE(2011,4,6)</f>
        <v>40639</v>
      </c>
      <c r="W69" s="2"/>
    </row>
    <row r="70" spans="1:23" ht="110.25">
      <c r="A70" s="1" t="s">
        <v>152</v>
      </c>
      <c r="B70" s="2">
        <f>DATE(2011,3,9)</f>
        <v>40611</v>
      </c>
      <c r="C70" s="3" t="s">
        <v>149</v>
      </c>
      <c r="D70" s="4" t="s">
        <v>161</v>
      </c>
      <c r="L70" s="2"/>
      <c r="M70" s="4"/>
      <c r="N70" s="4"/>
      <c r="O70" s="4"/>
      <c r="Q70" s="4"/>
      <c r="R70" s="10">
        <f>DATE(2011,3,11)</f>
        <v>40613</v>
      </c>
      <c r="S70" s="1">
        <v>21</v>
      </c>
      <c r="T70" s="2">
        <f>DATE(2011,3,14)</f>
        <v>40616</v>
      </c>
      <c r="V70" s="2">
        <f>DATE(2011,4,6)</f>
        <v>40639</v>
      </c>
      <c r="W70" s="2"/>
    </row>
    <row r="71" spans="1:9" ht="141.75">
      <c r="A71" s="1" t="s">
        <v>158</v>
      </c>
      <c r="B71" s="2">
        <f>DATE(2011,2,25)</f>
        <v>40599</v>
      </c>
      <c r="C71" s="3" t="s">
        <v>31</v>
      </c>
      <c r="D71" s="4" t="s">
        <v>159</v>
      </c>
      <c r="I71" s="4" t="s">
        <v>160</v>
      </c>
    </row>
    <row r="72" spans="1:13" ht="31.5">
      <c r="A72" s="1" t="s">
        <v>163</v>
      </c>
      <c r="B72" s="2">
        <f>DATE(2011,4,5)</f>
        <v>40638</v>
      </c>
      <c r="C72" s="3" t="s">
        <v>164</v>
      </c>
      <c r="D72" s="4" t="s">
        <v>165</v>
      </c>
      <c r="J72" s="4" t="s">
        <v>160</v>
      </c>
      <c r="M72" s="1" t="s">
        <v>192</v>
      </c>
    </row>
    <row r="73" spans="1:23" ht="189">
      <c r="A73" s="1" t="s">
        <v>206</v>
      </c>
      <c r="B73" s="2">
        <f>DATE(2011,4,11)</f>
        <v>40644</v>
      </c>
      <c r="C73" s="3" t="s">
        <v>207</v>
      </c>
      <c r="D73" s="4" t="s">
        <v>503</v>
      </c>
      <c r="I73" s="10">
        <f>DATE(2011,4,13)</f>
        <v>40646</v>
      </c>
      <c r="J73" s="4" t="s">
        <v>211</v>
      </c>
      <c r="K73" s="1" t="s">
        <v>208</v>
      </c>
      <c r="L73" s="2">
        <f>DATE(2011,11,8)</f>
        <v>40855</v>
      </c>
      <c r="M73" s="4" t="s">
        <v>212</v>
      </c>
      <c r="N73" s="4" t="s">
        <v>273</v>
      </c>
      <c r="O73" s="4"/>
      <c r="Q73" s="4" t="s">
        <v>272</v>
      </c>
      <c r="R73" s="10">
        <f>DATE(2012,1,9)</f>
        <v>40917</v>
      </c>
      <c r="S73" s="1">
        <v>24</v>
      </c>
      <c r="T73" s="2">
        <f>DATE(2012,1,9)</f>
        <v>40917</v>
      </c>
      <c r="U73" s="1" t="s">
        <v>274</v>
      </c>
      <c r="V73" s="2">
        <f>DATE(2012,2,8)</f>
        <v>40947</v>
      </c>
      <c r="W73" s="2"/>
    </row>
    <row r="74" spans="1:29" ht="31.5">
      <c r="A74" s="12" t="s">
        <v>167</v>
      </c>
      <c r="B74" s="2">
        <f>DATE(2011,4,29)</f>
        <v>40662</v>
      </c>
      <c r="C74" s="3" t="s">
        <v>45</v>
      </c>
      <c r="D74" s="4" t="s">
        <v>168</v>
      </c>
      <c r="I74" s="1" t="s">
        <v>265</v>
      </c>
      <c r="J74" s="12" t="s">
        <v>266</v>
      </c>
      <c r="K74" s="12" t="s">
        <v>222</v>
      </c>
      <c r="L74" s="2">
        <f>DATE(2012,3,26)</f>
        <v>40994</v>
      </c>
      <c r="M74" s="12" t="s">
        <v>226</v>
      </c>
      <c r="N74" s="12" t="s">
        <v>250</v>
      </c>
      <c r="O74" s="2">
        <f>DATE(2012,5,28)</f>
        <v>41057</v>
      </c>
      <c r="P74" s="12" t="s">
        <v>357</v>
      </c>
      <c r="Q74" s="1" t="s">
        <v>272</v>
      </c>
      <c r="R74" s="10">
        <f>DATE(2013,10,31)</f>
        <v>41578</v>
      </c>
      <c r="S74" s="12">
        <v>34</v>
      </c>
      <c r="T74" s="2">
        <f>DATE(2013,11,4)</f>
        <v>41582</v>
      </c>
      <c r="U74" s="12" t="s">
        <v>364</v>
      </c>
      <c r="V74" s="2">
        <f>DATE(2013,11,26)</f>
        <v>41604</v>
      </c>
      <c r="Z74" s="1">
        <v>12</v>
      </c>
      <c r="AA74" s="2">
        <v>44776</v>
      </c>
      <c r="AB74" s="1">
        <v>3</v>
      </c>
      <c r="AC74" s="2">
        <v>44777</v>
      </c>
    </row>
    <row r="75" spans="1:22" ht="189">
      <c r="A75" s="1" t="s">
        <v>335</v>
      </c>
      <c r="B75" s="2">
        <f>DATE(2010,8,10)</f>
        <v>40400</v>
      </c>
      <c r="C75" s="3" t="s">
        <v>84</v>
      </c>
      <c r="D75" s="4" t="s">
        <v>172</v>
      </c>
      <c r="I75" s="1" t="s">
        <v>336</v>
      </c>
      <c r="L75" s="2"/>
      <c r="V75" s="2"/>
    </row>
    <row r="76" spans="1:28" ht="189">
      <c r="A76" s="12" t="s">
        <v>171</v>
      </c>
      <c r="B76" s="2">
        <f>DATE(2011,5,13)</f>
        <v>40676</v>
      </c>
      <c r="C76" s="3" t="s">
        <v>84</v>
      </c>
      <c r="D76" s="4" t="s">
        <v>172</v>
      </c>
      <c r="K76" s="12" t="s">
        <v>173</v>
      </c>
      <c r="L76" s="2">
        <f>DATE(2011,5,17)</f>
        <v>40680</v>
      </c>
      <c r="M76" s="12" t="s">
        <v>333</v>
      </c>
      <c r="N76" s="12" t="s">
        <v>334</v>
      </c>
      <c r="O76" s="13">
        <f>DATE(2011,10,19)</f>
        <v>40835</v>
      </c>
      <c r="P76" s="14"/>
      <c r="T76" s="2"/>
      <c r="AB76" s="15"/>
    </row>
    <row r="77" spans="1:28" ht="189">
      <c r="A77" s="12" t="s">
        <v>337</v>
      </c>
      <c r="B77" s="2">
        <f>DATE(2011,8,8)</f>
        <v>40763</v>
      </c>
      <c r="C77" s="3" t="s">
        <v>84</v>
      </c>
      <c r="D77" s="4" t="s">
        <v>172</v>
      </c>
      <c r="K77" s="16"/>
      <c r="L77" s="2"/>
      <c r="M77" s="16"/>
      <c r="N77" s="16"/>
      <c r="O77" s="13"/>
      <c r="P77" s="14"/>
      <c r="Q77" s="1" t="s">
        <v>338</v>
      </c>
      <c r="R77" s="10">
        <f>DATE(2011,9,20)</f>
        <v>40806</v>
      </c>
      <c r="S77" s="12">
        <v>24</v>
      </c>
      <c r="T77" s="2">
        <f>DATE(2011,9,26)</f>
        <v>40812</v>
      </c>
      <c r="U77" s="12" t="s">
        <v>339</v>
      </c>
      <c r="V77" s="2">
        <f>DATE(2012,7,6)</f>
        <v>41096</v>
      </c>
      <c r="Z77" s="1">
        <v>8</v>
      </c>
      <c r="AA77" s="2">
        <f>DATE(2015,11,2)</f>
        <v>42310</v>
      </c>
      <c r="AB77" s="15"/>
    </row>
    <row r="78" spans="1:28" ht="189">
      <c r="A78" s="12" t="s">
        <v>340</v>
      </c>
      <c r="B78" s="2">
        <f>DATE(2013,5,15)</f>
        <v>41409</v>
      </c>
      <c r="C78" s="3" t="s">
        <v>84</v>
      </c>
      <c r="D78" s="4" t="s">
        <v>172</v>
      </c>
      <c r="K78" s="16"/>
      <c r="L78" s="2"/>
      <c r="M78" s="16"/>
      <c r="N78" s="16"/>
      <c r="O78" s="13"/>
      <c r="P78" s="14"/>
      <c r="R78" s="10"/>
      <c r="S78" s="16"/>
      <c r="T78" s="2"/>
      <c r="U78" s="16"/>
      <c r="V78" s="2"/>
      <c r="W78" s="12" t="s">
        <v>341</v>
      </c>
      <c r="AB78" s="15"/>
    </row>
    <row r="79" spans="1:14" ht="31.5">
      <c r="A79" s="1" t="s">
        <v>251</v>
      </c>
      <c r="B79" s="2">
        <f>DATE(2011,5,20)</f>
        <v>40683</v>
      </c>
      <c r="C79" s="3" t="s">
        <v>174</v>
      </c>
      <c r="D79" s="4" t="s">
        <v>175</v>
      </c>
      <c r="I79" s="4" t="s">
        <v>252</v>
      </c>
      <c r="J79" s="4" t="s">
        <v>253</v>
      </c>
      <c r="K79" s="1" t="s">
        <v>254</v>
      </c>
      <c r="L79" s="2">
        <f>DATE(2012,8,24)</f>
        <v>41145</v>
      </c>
      <c r="M79" s="1" t="s">
        <v>255</v>
      </c>
      <c r="N79" s="1" t="s">
        <v>256</v>
      </c>
    </row>
    <row r="80" spans="1:14" ht="47.25">
      <c r="A80" s="1" t="s">
        <v>257</v>
      </c>
      <c r="B80" s="2">
        <f>DATE(2012,11,14)</f>
        <v>41227</v>
      </c>
      <c r="C80" s="3" t="s">
        <v>174</v>
      </c>
      <c r="D80" s="4" t="s">
        <v>176</v>
      </c>
      <c r="J80" s="4" t="s">
        <v>258</v>
      </c>
      <c r="M80" s="1" t="s">
        <v>259</v>
      </c>
      <c r="N80" s="1" t="s">
        <v>260</v>
      </c>
    </row>
    <row r="81" spans="1:23" ht="78.75">
      <c r="A81" s="4" t="s">
        <v>219</v>
      </c>
      <c r="B81" s="2">
        <f>DATE(2011,6,15)</f>
        <v>40709</v>
      </c>
      <c r="C81" s="3" t="s">
        <v>177</v>
      </c>
      <c r="D81" s="4" t="s">
        <v>178</v>
      </c>
      <c r="I81" s="4" t="s">
        <v>263</v>
      </c>
      <c r="J81" s="4" t="s">
        <v>264</v>
      </c>
      <c r="K81" s="1" t="s">
        <v>218</v>
      </c>
      <c r="L81" s="2">
        <f>DATE(2011,10,18)</f>
        <v>40834</v>
      </c>
      <c r="M81" s="4" t="s">
        <v>262</v>
      </c>
      <c r="N81" s="4" t="s">
        <v>261</v>
      </c>
      <c r="O81" s="4"/>
      <c r="Q81" s="4" t="s">
        <v>284</v>
      </c>
      <c r="R81" s="10"/>
      <c r="S81" s="1">
        <v>27</v>
      </c>
      <c r="T81" s="2">
        <f>DATE(2012,5,8)</f>
        <v>41037</v>
      </c>
      <c r="U81" s="2">
        <f>DATE(2012,6,5)</f>
        <v>41065</v>
      </c>
      <c r="V81" s="2">
        <f>U81+14</f>
        <v>41079</v>
      </c>
      <c r="W81" s="2"/>
    </row>
    <row r="82" spans="1:21" ht="31.5">
      <c r="A82" s="1" t="s">
        <v>179</v>
      </c>
      <c r="B82" s="2">
        <f>DATE(2011,6,20)</f>
        <v>40714</v>
      </c>
      <c r="C82" s="3" t="s">
        <v>84</v>
      </c>
      <c r="D82" s="4" t="s">
        <v>180</v>
      </c>
      <c r="H82" s="10">
        <f>DATE(2011,6,28)</f>
        <v>40722</v>
      </c>
      <c r="J82" s="10">
        <f>DATE(2011,8,18)</f>
        <v>40773</v>
      </c>
      <c r="K82" s="1" t="s">
        <v>279</v>
      </c>
      <c r="L82" s="2">
        <f>DATE(2011,8,19)</f>
        <v>40774</v>
      </c>
      <c r="R82" s="10">
        <f>DATE(2010,5,9)</f>
        <v>40307</v>
      </c>
      <c r="S82" s="1">
        <v>28</v>
      </c>
      <c r="T82" s="2">
        <f>DATE(2012,5,10)</f>
        <v>41039</v>
      </c>
      <c r="U82" s="1" t="s">
        <v>280</v>
      </c>
    </row>
    <row r="83" spans="1:7" ht="31.5">
      <c r="A83" s="1" t="s">
        <v>181</v>
      </c>
      <c r="B83" s="2">
        <f>DATE(2011,6,27)</f>
        <v>40721</v>
      </c>
      <c r="C83" s="3" t="s">
        <v>182</v>
      </c>
      <c r="D83" s="4" t="s">
        <v>183</v>
      </c>
      <c r="G83" s="4" t="s">
        <v>184</v>
      </c>
    </row>
    <row r="84" spans="1:8" ht="63">
      <c r="A84" s="1" t="s">
        <v>196</v>
      </c>
      <c r="B84" s="2">
        <f>DATE(2011,7,25)</f>
        <v>40749</v>
      </c>
      <c r="C84" s="3" t="s">
        <v>174</v>
      </c>
      <c r="D84" s="4" t="s">
        <v>197</v>
      </c>
      <c r="H84" s="4" t="s">
        <v>198</v>
      </c>
    </row>
    <row r="85" spans="1:20" ht="63">
      <c r="A85" s="1" t="s">
        <v>201</v>
      </c>
      <c r="B85" s="2">
        <f>DATE(2011,9,13)</f>
        <v>40799</v>
      </c>
      <c r="C85" s="3" t="s">
        <v>202</v>
      </c>
      <c r="D85" s="4" t="s">
        <v>195</v>
      </c>
      <c r="R85" s="4" t="s">
        <v>188</v>
      </c>
      <c r="S85" s="1">
        <v>22</v>
      </c>
      <c r="T85" s="1" t="s">
        <v>200</v>
      </c>
    </row>
    <row r="86" spans="1:9" ht="47.25">
      <c r="A86" s="1" t="s">
        <v>203</v>
      </c>
      <c r="B86" s="2">
        <f>DATE(2011,9,15)</f>
        <v>40801</v>
      </c>
      <c r="C86" s="3" t="s">
        <v>204</v>
      </c>
      <c r="D86" s="4" t="s">
        <v>205</v>
      </c>
      <c r="I86" s="10">
        <f>DATE(2011,10,3)</f>
        <v>40819</v>
      </c>
    </row>
    <row r="87" spans="1:7" ht="47.25">
      <c r="A87" s="1" t="s">
        <v>213</v>
      </c>
      <c r="B87" s="2">
        <f>DATE(2011,12,6)</f>
        <v>40883</v>
      </c>
      <c r="C87" s="3" t="s">
        <v>60</v>
      </c>
      <c r="D87" s="4" t="s">
        <v>214</v>
      </c>
      <c r="G87" s="4" t="s">
        <v>281</v>
      </c>
    </row>
    <row r="88" spans="1:7" ht="47.25">
      <c r="A88" s="1" t="s">
        <v>215</v>
      </c>
      <c r="B88" s="2">
        <f>DATE(2012,1,21)</f>
        <v>40929</v>
      </c>
      <c r="C88" s="3" t="s">
        <v>216</v>
      </c>
      <c r="D88" s="4" t="s">
        <v>217</v>
      </c>
      <c r="G88" s="4" t="s">
        <v>282</v>
      </c>
    </row>
    <row r="89" spans="1:23" ht="141.75">
      <c r="A89" s="1" t="s">
        <v>221</v>
      </c>
      <c r="B89" s="2">
        <f>DATE(2012,2,10)</f>
        <v>40949</v>
      </c>
      <c r="C89" s="3" t="s">
        <v>129</v>
      </c>
      <c r="D89" s="7" t="s">
        <v>452</v>
      </c>
      <c r="E89" s="7"/>
      <c r="F89" s="7"/>
      <c r="R89" s="10">
        <f>DATE(2012,3,16)</f>
        <v>40984</v>
      </c>
      <c r="S89" s="1">
        <v>26</v>
      </c>
      <c r="T89" s="2">
        <f>DATE(2012,3,20)</f>
        <v>40988</v>
      </c>
      <c r="U89" s="1" t="s">
        <v>283</v>
      </c>
      <c r="V89" s="2">
        <f>DATE(2012,4,23)</f>
        <v>41022</v>
      </c>
      <c r="W89" s="2"/>
    </row>
    <row r="90" spans="1:23" ht="15.75">
      <c r="A90" s="1" t="s">
        <v>223</v>
      </c>
      <c r="B90" s="2">
        <f>DATE(2012,4,18)</f>
        <v>41017</v>
      </c>
      <c r="C90" s="3" t="s">
        <v>224</v>
      </c>
      <c r="D90" s="4" t="s">
        <v>225</v>
      </c>
      <c r="R90" s="10">
        <f>DATE(2012,5,14)</f>
        <v>41043</v>
      </c>
      <c r="S90" s="1">
        <v>29</v>
      </c>
      <c r="T90" s="2">
        <f>DATE(2012,5,14)</f>
        <v>41043</v>
      </c>
      <c r="U90" s="2">
        <f>DATE(2012,6,5)</f>
        <v>41065</v>
      </c>
      <c r="V90" s="2">
        <f>U90+14</f>
        <v>41079</v>
      </c>
      <c r="W90" s="2"/>
    </row>
    <row r="91" spans="3:4" ht="15.75">
      <c r="C91" s="3" t="s">
        <v>224</v>
      </c>
      <c r="D91" s="4" t="s">
        <v>230</v>
      </c>
    </row>
    <row r="92" spans="1:23" ht="63">
      <c r="A92" s="1" t="s">
        <v>233</v>
      </c>
      <c r="B92" s="2">
        <f>DATE(2012,3,5)</f>
        <v>40973</v>
      </c>
      <c r="C92" s="3" t="s">
        <v>234</v>
      </c>
      <c r="D92" s="4" t="s">
        <v>361</v>
      </c>
      <c r="I92" s="10">
        <f>DATE(2012,7,18)</f>
        <v>41108</v>
      </c>
      <c r="J92" s="4" t="s">
        <v>288</v>
      </c>
      <c r="K92" s="1" t="s">
        <v>289</v>
      </c>
      <c r="L92" s="2">
        <f>DATE(2013,2,4)</f>
        <v>41309</v>
      </c>
      <c r="M92" s="1" t="s">
        <v>290</v>
      </c>
      <c r="N92" s="1" t="s">
        <v>301</v>
      </c>
      <c r="Q92" s="1" t="s">
        <v>272</v>
      </c>
      <c r="R92" s="10">
        <f>DATE(2013,4,24)</f>
        <v>41388</v>
      </c>
      <c r="S92" s="1">
        <v>31</v>
      </c>
      <c r="T92" s="10">
        <f>DATE(2013,4,24)</f>
        <v>41388</v>
      </c>
      <c r="U92" s="1" t="s">
        <v>302</v>
      </c>
      <c r="V92" s="2">
        <f>DATE(2013,5,15)</f>
        <v>41409</v>
      </c>
      <c r="W92" s="2"/>
    </row>
    <row r="93" spans="1:23" ht="46.5" customHeight="1">
      <c r="A93" s="12" t="s">
        <v>360</v>
      </c>
      <c r="B93" s="2">
        <f>DATE(2013,10,28)</f>
        <v>41575</v>
      </c>
      <c r="C93" s="3" t="s">
        <v>234</v>
      </c>
      <c r="D93" s="4" t="s">
        <v>362</v>
      </c>
      <c r="I93" s="10"/>
      <c r="K93" s="12" t="s">
        <v>363</v>
      </c>
      <c r="L93" s="2">
        <f>DATE(2013,11,1)</f>
        <v>41579</v>
      </c>
      <c r="M93" s="12" t="s">
        <v>365</v>
      </c>
      <c r="N93" s="12" t="s">
        <v>366</v>
      </c>
      <c r="R93" s="10"/>
      <c r="T93" s="10"/>
      <c r="V93" s="2"/>
      <c r="W93" s="2"/>
    </row>
    <row r="94" spans="1:7" ht="78.75">
      <c r="A94" s="1" t="s">
        <v>235</v>
      </c>
      <c r="B94" s="2">
        <f>DATE(2011,12,12)</f>
        <v>40889</v>
      </c>
      <c r="C94" s="1" t="s">
        <v>236</v>
      </c>
      <c r="D94" s="4" t="s">
        <v>237</v>
      </c>
      <c r="G94" s="4" t="s">
        <v>352</v>
      </c>
    </row>
    <row r="95" spans="1:6" ht="47.25">
      <c r="A95" s="12" t="s">
        <v>244</v>
      </c>
      <c r="B95" s="2">
        <f>DATE(2013,1,15)</f>
        <v>41289</v>
      </c>
      <c r="C95" s="3" t="s">
        <v>245</v>
      </c>
      <c r="D95" s="4" t="s">
        <v>246</v>
      </c>
      <c r="F95" s="12" t="s">
        <v>249</v>
      </c>
    </row>
    <row r="96" spans="1:7" ht="47.25">
      <c r="A96" s="12" t="s">
        <v>349</v>
      </c>
      <c r="B96" s="2">
        <f>DATE(2013,3,22)</f>
        <v>41355</v>
      </c>
      <c r="C96" s="3" t="s">
        <v>245</v>
      </c>
      <c r="D96" s="4" t="s">
        <v>350</v>
      </c>
      <c r="F96" s="25"/>
      <c r="G96" s="12" t="s">
        <v>351</v>
      </c>
    </row>
    <row r="97" spans="1:9" ht="15.75">
      <c r="A97" s="12" t="s">
        <v>277</v>
      </c>
      <c r="B97" s="2">
        <f>DATE(2010,3,15)</f>
        <v>40252</v>
      </c>
      <c r="C97" s="3" t="s">
        <v>275</v>
      </c>
      <c r="D97" s="4" t="s">
        <v>276</v>
      </c>
      <c r="I97" s="12" t="s">
        <v>348</v>
      </c>
    </row>
    <row r="98" spans="1:9" ht="15.75">
      <c r="A98" s="12" t="s">
        <v>278</v>
      </c>
      <c r="B98" s="2">
        <f>DATE(2012,2,22)</f>
        <v>40961</v>
      </c>
      <c r="C98" s="3" t="s">
        <v>275</v>
      </c>
      <c r="D98" s="4" t="s">
        <v>276</v>
      </c>
      <c r="I98" s="12" t="s">
        <v>346</v>
      </c>
    </row>
    <row r="99" spans="3:9" ht="15.75">
      <c r="C99" s="3" t="s">
        <v>275</v>
      </c>
      <c r="D99" s="4" t="s">
        <v>276</v>
      </c>
      <c r="I99" s="12" t="s">
        <v>347</v>
      </c>
    </row>
    <row r="100" spans="1:15" ht="31.5">
      <c r="A100" s="12" t="s">
        <v>287</v>
      </c>
      <c r="B100" s="2">
        <f>DATE(2013,2,18)</f>
        <v>41323</v>
      </c>
      <c r="C100" s="3" t="s">
        <v>285</v>
      </c>
      <c r="D100" s="4" t="s">
        <v>286</v>
      </c>
      <c r="I100" s="12" t="s">
        <v>295</v>
      </c>
      <c r="J100" s="12" t="s">
        <v>369</v>
      </c>
      <c r="K100" s="12" t="s">
        <v>394</v>
      </c>
      <c r="L100" s="2">
        <f>DATE(2014,2,18)</f>
        <v>41688</v>
      </c>
      <c r="M100" s="1" t="s">
        <v>395</v>
      </c>
      <c r="N100" s="12" t="s">
        <v>396</v>
      </c>
      <c r="O100" s="2">
        <f>DATE(2014,7,4)</f>
        <v>41824</v>
      </c>
    </row>
    <row r="101" spans="1:9" ht="47.25">
      <c r="A101" s="12" t="s">
        <v>291</v>
      </c>
      <c r="B101" s="2">
        <f>DATE(2013,3,4)</f>
        <v>41337</v>
      </c>
      <c r="C101" s="3" t="s">
        <v>292</v>
      </c>
      <c r="D101" s="4" t="s">
        <v>293</v>
      </c>
      <c r="I101" s="12" t="s">
        <v>294</v>
      </c>
    </row>
    <row r="102" spans="1:4" ht="63">
      <c r="A102" s="12" t="s">
        <v>296</v>
      </c>
      <c r="B102" s="2">
        <f>DATE(2013,3,6)</f>
        <v>41339</v>
      </c>
      <c r="C102" s="3" t="s">
        <v>298</v>
      </c>
      <c r="D102" s="4" t="s">
        <v>299</v>
      </c>
    </row>
    <row r="103" spans="1:21" ht="63">
      <c r="A103" s="12" t="s">
        <v>297</v>
      </c>
      <c r="B103" s="2">
        <f>DATE(2013,3,26)</f>
        <v>41359</v>
      </c>
      <c r="C103" s="3" t="s">
        <v>298</v>
      </c>
      <c r="D103" s="4" t="s">
        <v>299</v>
      </c>
      <c r="Q103" s="12" t="s">
        <v>300</v>
      </c>
      <c r="R103" s="10">
        <f>DATE(2013,5,23)</f>
        <v>41417</v>
      </c>
      <c r="S103" s="12">
        <v>32</v>
      </c>
      <c r="T103" s="2">
        <f>DATE(2013,5,23)</f>
        <v>41417</v>
      </c>
      <c r="U103" s="12" t="s">
        <v>332</v>
      </c>
    </row>
    <row r="104" spans="1:5" ht="47.25">
      <c r="A104" s="12" t="s">
        <v>206</v>
      </c>
      <c r="B104" s="2">
        <f>DATE(2013,4,26)</f>
        <v>41390</v>
      </c>
      <c r="C104" s="3" t="s">
        <v>303</v>
      </c>
      <c r="D104" s="4" t="s">
        <v>304</v>
      </c>
      <c r="E104" s="12" t="s">
        <v>331</v>
      </c>
    </row>
    <row r="105" spans="1:12" ht="110.25">
      <c r="A105" s="12" t="s">
        <v>342</v>
      </c>
      <c r="B105" s="2">
        <f>DATE(2013,4,9)</f>
        <v>41373</v>
      </c>
      <c r="C105" s="3" t="s">
        <v>343</v>
      </c>
      <c r="D105" s="4" t="s">
        <v>344</v>
      </c>
      <c r="K105" s="12" t="s">
        <v>345</v>
      </c>
      <c r="L105" s="26">
        <f>DATE(2013,6,6)</f>
        <v>41431</v>
      </c>
    </row>
    <row r="106" spans="1:20" ht="63">
      <c r="A106" s="12" t="s">
        <v>353</v>
      </c>
      <c r="B106" s="2">
        <f>DATE(2013,7,30)</f>
        <v>41485</v>
      </c>
      <c r="C106" s="3" t="s">
        <v>298</v>
      </c>
      <c r="D106" s="4" t="s">
        <v>354</v>
      </c>
      <c r="R106" s="10">
        <f>DATE(2013,8,1)</f>
        <v>41487</v>
      </c>
      <c r="S106" s="12">
        <v>33</v>
      </c>
      <c r="T106" s="2">
        <f>DATE(2013,8,2)</f>
        <v>41488</v>
      </c>
    </row>
    <row r="107" spans="1:4" ht="63">
      <c r="A107" s="12" t="s">
        <v>355</v>
      </c>
      <c r="B107" s="2">
        <f>DATE(2013,8,1)</f>
        <v>41487</v>
      </c>
      <c r="C107" s="3" t="s">
        <v>298</v>
      </c>
      <c r="D107" s="4" t="s">
        <v>356</v>
      </c>
    </row>
    <row r="108" spans="1:27" ht="15.75">
      <c r="A108" s="12" t="s">
        <v>370</v>
      </c>
      <c r="B108" s="2">
        <f aca="true" t="shared" si="0" ref="B108:B113">DATE(2014,4,30)</f>
        <v>41759</v>
      </c>
      <c r="C108" s="3" t="s">
        <v>371</v>
      </c>
      <c r="D108" s="4" t="s">
        <v>372</v>
      </c>
      <c r="Z108" s="1" t="s">
        <v>380</v>
      </c>
      <c r="AA108" s="2">
        <f aca="true" t="shared" si="1" ref="AA108:AA113">DATE(2014,5,15)</f>
        <v>41774</v>
      </c>
    </row>
    <row r="109" spans="1:27" ht="15.75">
      <c r="A109" s="1" t="s">
        <v>373</v>
      </c>
      <c r="B109" s="2">
        <f t="shared" si="0"/>
        <v>41759</v>
      </c>
      <c r="C109" s="3" t="s">
        <v>371</v>
      </c>
      <c r="D109" s="4" t="s">
        <v>386</v>
      </c>
      <c r="Z109" s="1" t="s">
        <v>381</v>
      </c>
      <c r="AA109" s="2">
        <f t="shared" si="1"/>
        <v>41774</v>
      </c>
    </row>
    <row r="110" spans="1:27" ht="31.5">
      <c r="A110" s="1" t="s">
        <v>374</v>
      </c>
      <c r="B110" s="2">
        <f t="shared" si="0"/>
        <v>41759</v>
      </c>
      <c r="C110" s="3" t="s">
        <v>371</v>
      </c>
      <c r="D110" s="4" t="s">
        <v>377</v>
      </c>
      <c r="Z110" s="1" t="s">
        <v>382</v>
      </c>
      <c r="AA110" s="2">
        <f t="shared" si="1"/>
        <v>41774</v>
      </c>
    </row>
    <row r="111" spans="1:27" ht="31.5">
      <c r="A111" s="1" t="s">
        <v>375</v>
      </c>
      <c r="B111" s="2">
        <f t="shared" si="0"/>
        <v>41759</v>
      </c>
      <c r="C111" s="3" t="s">
        <v>371</v>
      </c>
      <c r="D111" s="4" t="s">
        <v>378</v>
      </c>
      <c r="Z111" s="1" t="s">
        <v>383</v>
      </c>
      <c r="AA111" s="2">
        <f t="shared" si="1"/>
        <v>41774</v>
      </c>
    </row>
    <row r="112" spans="1:27" ht="31.5">
      <c r="A112" s="1" t="s">
        <v>376</v>
      </c>
      <c r="B112" s="2">
        <f t="shared" si="0"/>
        <v>41759</v>
      </c>
      <c r="C112" s="3" t="s">
        <v>371</v>
      </c>
      <c r="D112" s="4" t="s">
        <v>379</v>
      </c>
      <c r="Z112" s="1" t="s">
        <v>384</v>
      </c>
      <c r="AA112" s="2">
        <f t="shared" si="1"/>
        <v>41774</v>
      </c>
    </row>
    <row r="113" spans="1:27" ht="15.75">
      <c r="A113" s="1" t="s">
        <v>387</v>
      </c>
      <c r="B113" s="2">
        <f t="shared" si="0"/>
        <v>41759</v>
      </c>
      <c r="C113" s="3" t="s">
        <v>371</v>
      </c>
      <c r="D113" s="4" t="s">
        <v>388</v>
      </c>
      <c r="Z113" s="1" t="s">
        <v>385</v>
      </c>
      <c r="AA113" s="2">
        <f t="shared" si="1"/>
        <v>41774</v>
      </c>
    </row>
    <row r="114" spans="1:16" ht="141.75">
      <c r="A114" s="12" t="s">
        <v>148</v>
      </c>
      <c r="B114" s="2">
        <f>DATE(2011,9,21)</f>
        <v>40807</v>
      </c>
      <c r="C114" s="3" t="s">
        <v>45</v>
      </c>
      <c r="D114" s="4" t="s">
        <v>389</v>
      </c>
      <c r="I114" s="12" t="s">
        <v>390</v>
      </c>
      <c r="J114" s="12" t="s">
        <v>391</v>
      </c>
      <c r="K114" s="12" t="s">
        <v>392</v>
      </c>
      <c r="L114" s="2">
        <f>DATE(2013,10,18)</f>
        <v>41565</v>
      </c>
      <c r="M114" s="12" t="s">
        <v>402</v>
      </c>
      <c r="N114" s="12" t="s">
        <v>403</v>
      </c>
      <c r="O114" s="1" t="s">
        <v>404</v>
      </c>
      <c r="P114" s="25"/>
    </row>
    <row r="115" spans="1:20" ht="31.5">
      <c r="A115" s="12" t="s">
        <v>233</v>
      </c>
      <c r="B115" s="2">
        <f>DATE(2014,3,14)</f>
        <v>41712</v>
      </c>
      <c r="C115" s="3" t="s">
        <v>397</v>
      </c>
      <c r="D115" s="4" t="s">
        <v>398</v>
      </c>
      <c r="P115" s="12" t="s">
        <v>399</v>
      </c>
      <c r="Q115" s="1" t="s">
        <v>400</v>
      </c>
      <c r="R115" s="10">
        <f>DATE(2014,6,18)</f>
        <v>41808</v>
      </c>
      <c r="S115" s="12" t="s">
        <v>401</v>
      </c>
      <c r="T115" s="2">
        <f>DATE(2014,6,19)</f>
        <v>41809</v>
      </c>
    </row>
    <row r="116" spans="1:27" ht="173.25">
      <c r="A116" s="1" t="s">
        <v>411</v>
      </c>
      <c r="B116" s="2">
        <f>DATE(2014,2,7)</f>
        <v>41677</v>
      </c>
      <c r="C116" s="3" t="s">
        <v>412</v>
      </c>
      <c r="D116" s="4" t="s">
        <v>427</v>
      </c>
      <c r="K116" s="1" t="s">
        <v>414</v>
      </c>
      <c r="Z116" s="1">
        <v>7</v>
      </c>
      <c r="AA116" s="2">
        <f>DATE(2015,8,28)</f>
        <v>42244</v>
      </c>
    </row>
    <row r="117" spans="1:22" ht="15.75">
      <c r="A117" s="12" t="s">
        <v>408</v>
      </c>
      <c r="B117" s="2">
        <f>DATE(2015,1,23)</f>
        <v>42027</v>
      </c>
      <c r="C117" s="3" t="s">
        <v>415</v>
      </c>
      <c r="D117" s="4" t="s">
        <v>409</v>
      </c>
      <c r="P117" s="12" t="str">
        <f>A117</f>
        <v>3800-12</v>
      </c>
      <c r="Q117" s="1" t="s">
        <v>400</v>
      </c>
      <c r="R117" s="10">
        <f>DATE(2015,2,10)</f>
        <v>42045</v>
      </c>
      <c r="S117" s="12" t="s">
        <v>410</v>
      </c>
      <c r="T117" s="2">
        <f>DATE(2015,2,11)</f>
        <v>42046</v>
      </c>
      <c r="U117" s="1" t="s">
        <v>413</v>
      </c>
      <c r="V117" s="2">
        <f>DATE(2015,3,11)</f>
        <v>42074</v>
      </c>
    </row>
    <row r="118" spans="1:14" ht="63">
      <c r="A118" s="1" t="s">
        <v>47</v>
      </c>
      <c r="B118" s="2">
        <v>42933</v>
      </c>
      <c r="C118" s="3" t="s">
        <v>418</v>
      </c>
      <c r="D118" s="4" t="s">
        <v>419</v>
      </c>
      <c r="I118" s="4" t="s">
        <v>420</v>
      </c>
      <c r="J118" s="4" t="s">
        <v>440</v>
      </c>
      <c r="K118" s="1" t="s">
        <v>441</v>
      </c>
      <c r="L118" s="2">
        <v>43588</v>
      </c>
      <c r="M118" s="1" t="s">
        <v>442</v>
      </c>
      <c r="N118" s="1" t="s">
        <v>443</v>
      </c>
    </row>
    <row r="119" spans="1:9" ht="78.75">
      <c r="A119" s="1" t="s">
        <v>421</v>
      </c>
      <c r="B119" s="2">
        <v>43334</v>
      </c>
      <c r="C119" s="3" t="s">
        <v>164</v>
      </c>
      <c r="D119" s="4" t="s">
        <v>422</v>
      </c>
      <c r="I119" s="4" t="s">
        <v>426</v>
      </c>
    </row>
    <row r="120" spans="1:27" ht="47.25">
      <c r="A120" s="1" t="s">
        <v>423</v>
      </c>
      <c r="B120" s="2">
        <v>43342</v>
      </c>
      <c r="C120" s="3" t="s">
        <v>424</v>
      </c>
      <c r="D120" s="4" t="s">
        <v>425</v>
      </c>
      <c r="P120" s="4" t="s">
        <v>428</v>
      </c>
      <c r="Q120" s="1" t="s">
        <v>400</v>
      </c>
      <c r="R120" s="10">
        <v>43348</v>
      </c>
      <c r="S120" s="1" t="s">
        <v>429</v>
      </c>
      <c r="T120" s="2">
        <v>43360</v>
      </c>
      <c r="U120" s="1" t="s">
        <v>430</v>
      </c>
      <c r="Y120" s="2">
        <v>44137</v>
      </c>
      <c r="Z120" s="1">
        <v>10</v>
      </c>
      <c r="AA120" s="2">
        <v>44160</v>
      </c>
    </row>
    <row r="121" spans="1:4" ht="31.5">
      <c r="A121" s="1" t="s">
        <v>431</v>
      </c>
      <c r="B121" s="2">
        <v>43375</v>
      </c>
      <c r="C121" s="3" t="s">
        <v>53</v>
      </c>
      <c r="D121" s="4" t="s">
        <v>432</v>
      </c>
    </row>
    <row r="122" spans="1:22" ht="47.25">
      <c r="A122" s="1" t="s">
        <v>433</v>
      </c>
      <c r="B122" s="2">
        <v>43469</v>
      </c>
      <c r="C122" s="3" t="s">
        <v>468</v>
      </c>
      <c r="D122" s="4" t="s">
        <v>434</v>
      </c>
      <c r="I122" s="4" t="s">
        <v>449</v>
      </c>
      <c r="J122" s="4" t="s">
        <v>469</v>
      </c>
      <c r="K122" s="1" t="s">
        <v>481</v>
      </c>
      <c r="L122" s="2">
        <v>44130</v>
      </c>
      <c r="M122" s="1" t="s">
        <v>483</v>
      </c>
      <c r="N122" s="2">
        <v>44208</v>
      </c>
      <c r="O122" s="2">
        <f>N122+30</f>
        <v>44238</v>
      </c>
      <c r="P122" s="10">
        <v>44267</v>
      </c>
      <c r="Q122" s="1" t="s">
        <v>501</v>
      </c>
      <c r="R122" s="10">
        <v>44351</v>
      </c>
      <c r="S122" s="1" t="s">
        <v>502</v>
      </c>
      <c r="T122" s="2">
        <v>44351</v>
      </c>
      <c r="U122" s="1" t="s">
        <v>504</v>
      </c>
      <c r="V122" s="2">
        <v>44391</v>
      </c>
    </row>
    <row r="123" spans="1:7" ht="31.5">
      <c r="A123" s="1" t="s">
        <v>408</v>
      </c>
      <c r="B123" s="2">
        <v>43522</v>
      </c>
      <c r="C123" s="3" t="s">
        <v>435</v>
      </c>
      <c r="D123" s="4" t="s">
        <v>436</v>
      </c>
      <c r="G123" s="4" t="s">
        <v>445</v>
      </c>
    </row>
    <row r="124" spans="1:4" ht="47.25">
      <c r="A124" s="1" t="s">
        <v>437</v>
      </c>
      <c r="B124" s="2">
        <v>43529</v>
      </c>
      <c r="C124" s="3" t="s">
        <v>438</v>
      </c>
      <c r="D124" s="4" t="s">
        <v>439</v>
      </c>
    </row>
    <row r="125" spans="1:30" ht="63">
      <c r="A125" s="4" t="s">
        <v>456</v>
      </c>
      <c r="B125" s="2">
        <v>43798</v>
      </c>
      <c r="C125" s="3" t="s">
        <v>446</v>
      </c>
      <c r="D125" s="4" t="s">
        <v>447</v>
      </c>
      <c r="I125" s="4" t="s">
        <v>448</v>
      </c>
      <c r="J125" s="4" t="s">
        <v>453</v>
      </c>
      <c r="K125" s="1" t="s">
        <v>454</v>
      </c>
      <c r="L125" s="2">
        <v>43896</v>
      </c>
      <c r="M125" s="1" t="s">
        <v>455</v>
      </c>
      <c r="N125" s="2">
        <v>43928</v>
      </c>
      <c r="O125" s="2">
        <f>N125+30</f>
        <v>43958</v>
      </c>
      <c r="P125" s="10">
        <v>43962</v>
      </c>
      <c r="Q125" s="1" t="s">
        <v>454</v>
      </c>
      <c r="R125" s="10">
        <v>43977</v>
      </c>
      <c r="S125" s="1" t="s">
        <v>457</v>
      </c>
      <c r="T125" s="2">
        <v>43980</v>
      </c>
      <c r="U125" s="1" t="s">
        <v>458</v>
      </c>
      <c r="V125" s="2">
        <v>43994</v>
      </c>
      <c r="Z125" s="1">
        <v>9</v>
      </c>
      <c r="AA125" s="2">
        <v>44125</v>
      </c>
      <c r="AB125" s="1">
        <v>1</v>
      </c>
      <c r="AC125" s="2">
        <v>44124</v>
      </c>
      <c r="AD125" s="27"/>
    </row>
    <row r="126" spans="1:22" ht="63">
      <c r="A126" s="4" t="s">
        <v>459</v>
      </c>
      <c r="B126" s="2">
        <v>44011</v>
      </c>
      <c r="C126" s="3" t="s">
        <v>460</v>
      </c>
      <c r="D126" s="4" t="s">
        <v>461</v>
      </c>
      <c r="G126" s="10"/>
      <c r="P126" s="4" t="str">
        <f>A126</f>
        <v>1981-1
1974-1</v>
      </c>
      <c r="R126" s="10">
        <v>44014</v>
      </c>
      <c r="S126" s="1" t="s">
        <v>462</v>
      </c>
      <c r="T126" s="2">
        <v>44019</v>
      </c>
      <c r="U126" s="1" t="s">
        <v>467</v>
      </c>
      <c r="V126" s="2">
        <v>44048</v>
      </c>
    </row>
    <row r="127" spans="1:31" ht="31.5">
      <c r="A127" s="1" t="s">
        <v>463</v>
      </c>
      <c r="B127" s="2">
        <v>44054</v>
      </c>
      <c r="C127" s="3" t="s">
        <v>464</v>
      </c>
      <c r="D127" s="4" t="s">
        <v>465</v>
      </c>
      <c r="G127" s="10" t="s">
        <v>466</v>
      </c>
      <c r="L127" s="2"/>
      <c r="AD127" s="27"/>
      <c r="AE127" s="1" t="s">
        <v>242</v>
      </c>
    </row>
    <row r="128" spans="1:23" ht="31.5">
      <c r="A128" s="1" t="s">
        <v>181</v>
      </c>
      <c r="B128" s="2">
        <v>44125</v>
      </c>
      <c r="C128" s="3" t="s">
        <v>470</v>
      </c>
      <c r="D128" s="4" t="s">
        <v>471</v>
      </c>
      <c r="V128" s="2"/>
      <c r="W128" s="2"/>
    </row>
    <row r="129" spans="1:27" ht="47.25">
      <c r="A129" s="1" t="s">
        <v>472</v>
      </c>
      <c r="B129" s="2">
        <v>44126</v>
      </c>
      <c r="C129" s="3" t="s">
        <v>473</v>
      </c>
      <c r="D129" s="4" t="s">
        <v>474</v>
      </c>
      <c r="P129" s="4" t="s">
        <v>472</v>
      </c>
      <c r="Q129" s="4" t="s">
        <v>475</v>
      </c>
      <c r="R129" s="10">
        <v>44127</v>
      </c>
      <c r="S129" s="1" t="s">
        <v>476</v>
      </c>
      <c r="T129" s="2">
        <v>44131</v>
      </c>
      <c r="U129" s="1" t="s">
        <v>480</v>
      </c>
      <c r="V129" s="2">
        <v>44169</v>
      </c>
      <c r="Z129" s="1" t="s">
        <v>519</v>
      </c>
      <c r="AA129" s="2">
        <v>44467</v>
      </c>
    </row>
    <row r="130" spans="1:22" ht="63">
      <c r="A130" s="1" t="s">
        <v>477</v>
      </c>
      <c r="B130" s="2">
        <v>44127</v>
      </c>
      <c r="C130" s="3" t="s">
        <v>478</v>
      </c>
      <c r="D130" s="4" t="s">
        <v>479</v>
      </c>
      <c r="I130" s="4" t="s">
        <v>482</v>
      </c>
      <c r="J130" s="10" t="s">
        <v>527</v>
      </c>
      <c r="K130" s="1" t="s">
        <v>528</v>
      </c>
      <c r="L130" s="2">
        <v>44718</v>
      </c>
      <c r="M130" s="2"/>
      <c r="U130" s="2"/>
      <c r="V130" s="2"/>
    </row>
    <row r="131" spans="2:22" ht="31.5">
      <c r="B131" s="2">
        <v>44155</v>
      </c>
      <c r="C131" s="3" t="s">
        <v>492</v>
      </c>
      <c r="D131" s="4" t="s">
        <v>493</v>
      </c>
      <c r="J131" s="10"/>
      <c r="L131" s="2"/>
      <c r="M131" s="2"/>
      <c r="U131" s="2"/>
      <c r="V131" s="2"/>
    </row>
    <row r="132" spans="1:29" ht="47.25">
      <c r="A132" s="1" t="s">
        <v>484</v>
      </c>
      <c r="B132" s="2">
        <v>44228</v>
      </c>
      <c r="C132" s="3" t="s">
        <v>485</v>
      </c>
      <c r="D132" s="4" t="s">
        <v>486</v>
      </c>
      <c r="I132" s="4" t="s">
        <v>487</v>
      </c>
      <c r="J132" s="10" t="s">
        <v>491</v>
      </c>
      <c r="K132" s="1" t="s">
        <v>496</v>
      </c>
      <c r="L132" s="2">
        <v>44305</v>
      </c>
      <c r="M132" s="1" t="s">
        <v>500</v>
      </c>
      <c r="N132" s="2">
        <v>44351</v>
      </c>
      <c r="O132" s="2">
        <f>N132+31</f>
        <v>44382</v>
      </c>
      <c r="P132" s="4" t="s">
        <v>520</v>
      </c>
      <c r="Q132" s="4" t="s">
        <v>475</v>
      </c>
      <c r="R132" s="10">
        <v>44580</v>
      </c>
      <c r="S132" s="1" t="s">
        <v>502</v>
      </c>
      <c r="T132" s="2">
        <v>44589</v>
      </c>
      <c r="U132" s="2" t="s">
        <v>521</v>
      </c>
      <c r="V132" s="2">
        <v>44627</v>
      </c>
      <c r="Z132" s="1">
        <v>11</v>
      </c>
      <c r="AA132" s="2">
        <v>44750</v>
      </c>
      <c r="AB132" s="1">
        <v>2</v>
      </c>
      <c r="AC132" s="2">
        <v>44753</v>
      </c>
    </row>
    <row r="133" spans="1:22" ht="47.25">
      <c r="A133" s="1" t="s">
        <v>488</v>
      </c>
      <c r="B133" s="2">
        <v>44243</v>
      </c>
      <c r="C133" s="3" t="s">
        <v>489</v>
      </c>
      <c r="D133" s="4" t="s">
        <v>490</v>
      </c>
      <c r="U133" s="2"/>
      <c r="V133" s="2"/>
    </row>
    <row r="134" spans="1:4" ht="31.5">
      <c r="A134" s="1" t="s">
        <v>494</v>
      </c>
      <c r="B134" s="2">
        <v>44301</v>
      </c>
      <c r="C134" s="3" t="s">
        <v>495</v>
      </c>
      <c r="D134" s="4" t="s">
        <v>493</v>
      </c>
    </row>
    <row r="135" spans="1:4" ht="31.5">
      <c r="A135" s="1" t="s">
        <v>498</v>
      </c>
      <c r="B135" s="2">
        <v>44323</v>
      </c>
      <c r="C135" s="3" t="s">
        <v>497</v>
      </c>
      <c r="D135" s="4" t="s">
        <v>499</v>
      </c>
    </row>
    <row r="136" spans="1:4" ht="31.5">
      <c r="A136" s="1" t="s">
        <v>505</v>
      </c>
      <c r="B136" s="2">
        <v>44378</v>
      </c>
      <c r="C136" s="3" t="s">
        <v>506</v>
      </c>
      <c r="D136" s="4" t="s">
        <v>493</v>
      </c>
    </row>
    <row r="137" spans="1:22" ht="39.75" customHeight="1">
      <c r="A137" s="1" t="s">
        <v>507</v>
      </c>
      <c r="B137" s="2">
        <v>44379</v>
      </c>
      <c r="C137" s="3" t="s">
        <v>485</v>
      </c>
      <c r="D137" s="4" t="s">
        <v>508</v>
      </c>
      <c r="I137" s="4" t="s">
        <v>509</v>
      </c>
      <c r="J137" s="4" t="s">
        <v>516</v>
      </c>
      <c r="K137" s="1" t="s">
        <v>517</v>
      </c>
      <c r="L137" s="2">
        <v>44447</v>
      </c>
      <c r="M137" s="1" t="s">
        <v>518</v>
      </c>
      <c r="N137" s="2">
        <v>44467</v>
      </c>
      <c r="O137" s="2">
        <f>N137+30</f>
        <v>44497</v>
      </c>
      <c r="P137" s="4" t="s">
        <v>531</v>
      </c>
      <c r="Q137" s="4" t="s">
        <v>475</v>
      </c>
      <c r="R137" s="10">
        <v>44813</v>
      </c>
      <c r="S137" s="1" t="s">
        <v>532</v>
      </c>
      <c r="T137" s="2">
        <v>44813</v>
      </c>
      <c r="U137" s="2">
        <v>44827</v>
      </c>
      <c r="V137" s="2">
        <v>44857</v>
      </c>
    </row>
    <row r="138" spans="1:4" ht="39.75" customHeight="1">
      <c r="A138" s="1" t="s">
        <v>513</v>
      </c>
      <c r="B138" s="2">
        <v>44410</v>
      </c>
      <c r="C138" s="3" t="s">
        <v>514</v>
      </c>
      <c r="D138" s="4" t="s">
        <v>515</v>
      </c>
    </row>
    <row r="139" spans="1:4" ht="31.5">
      <c r="A139" s="1" t="s">
        <v>510</v>
      </c>
      <c r="B139" s="2">
        <v>44428</v>
      </c>
      <c r="C139" s="3" t="s">
        <v>511</v>
      </c>
      <c r="D139" s="4" t="s">
        <v>512</v>
      </c>
    </row>
    <row r="140" spans="1:9" ht="31.5">
      <c r="A140" s="1" t="s">
        <v>484</v>
      </c>
      <c r="B140" s="2">
        <v>44655</v>
      </c>
      <c r="C140" s="3" t="s">
        <v>522</v>
      </c>
      <c r="D140" s="4" t="s">
        <v>523</v>
      </c>
      <c r="I140" s="4" t="s">
        <v>524</v>
      </c>
    </row>
    <row r="141" spans="1:9" ht="47.25">
      <c r="A141" s="28" t="s">
        <v>537</v>
      </c>
      <c r="B141" s="29" t="s">
        <v>538</v>
      </c>
      <c r="C141" s="3" t="s">
        <v>522</v>
      </c>
      <c r="D141" s="4" t="s">
        <v>536</v>
      </c>
      <c r="I141" s="4" t="s">
        <v>539</v>
      </c>
    </row>
    <row r="142" spans="1:4" ht="47.25">
      <c r="A142" s="1" t="s">
        <v>505</v>
      </c>
      <c r="B142" s="2">
        <v>44708</v>
      </c>
      <c r="C142" s="3" t="s">
        <v>525</v>
      </c>
      <c r="D142" s="4" t="s">
        <v>526</v>
      </c>
    </row>
    <row r="143" spans="1:22" ht="47.25">
      <c r="A143" s="1" t="s">
        <v>540</v>
      </c>
      <c r="B143" s="2">
        <v>44943</v>
      </c>
      <c r="C143" s="3" t="s">
        <v>275</v>
      </c>
      <c r="D143" s="4" t="s">
        <v>541</v>
      </c>
      <c r="N143" s="1" t="s">
        <v>544</v>
      </c>
      <c r="P143" s="4" t="s">
        <v>542</v>
      </c>
      <c r="Q143" s="4" t="s">
        <v>475</v>
      </c>
      <c r="R143" s="10">
        <v>44965</v>
      </c>
      <c r="S143" s="1" t="s">
        <v>543</v>
      </c>
      <c r="T143" s="2">
        <v>44967</v>
      </c>
      <c r="U143" s="2">
        <v>44981</v>
      </c>
      <c r="V143" s="2">
        <f>U143+30</f>
        <v>45011</v>
      </c>
    </row>
    <row r="144" spans="1:4" ht="63">
      <c r="A144" s="1" t="s">
        <v>545</v>
      </c>
      <c r="B144" s="2">
        <v>45000</v>
      </c>
      <c r="C144" s="3" t="s">
        <v>546</v>
      </c>
      <c r="D144" s="4" t="s">
        <v>547</v>
      </c>
    </row>
    <row r="145" spans="1:27" ht="63">
      <c r="A145" s="4" t="s">
        <v>551</v>
      </c>
      <c r="B145" s="2">
        <v>45015</v>
      </c>
      <c r="C145" s="3" t="s">
        <v>548</v>
      </c>
      <c r="D145" s="4" t="s">
        <v>549</v>
      </c>
      <c r="P145" s="4" t="s">
        <v>550</v>
      </c>
      <c r="Q145" s="4" t="s">
        <v>475</v>
      </c>
      <c r="S145" s="1" t="s">
        <v>552</v>
      </c>
      <c r="T145" s="2">
        <v>45037</v>
      </c>
      <c r="U145" s="2">
        <v>45048</v>
      </c>
      <c r="V145" s="2">
        <v>45078</v>
      </c>
      <c r="Z145" s="30">
        <v>13</v>
      </c>
      <c r="AA145" s="31">
        <v>45315</v>
      </c>
    </row>
    <row r="146" spans="1:10" ht="63">
      <c r="A146" s="28" t="s">
        <v>553</v>
      </c>
      <c r="B146" s="29" t="s">
        <v>554</v>
      </c>
      <c r="C146" s="3" t="s">
        <v>522</v>
      </c>
      <c r="D146" s="4" t="s">
        <v>555</v>
      </c>
      <c r="I146" s="4" t="s">
        <v>561</v>
      </c>
      <c r="J146" s="4" t="s">
        <v>562</v>
      </c>
    </row>
    <row r="147" spans="1:21" ht="141.75">
      <c r="A147" s="4" t="s">
        <v>556</v>
      </c>
      <c r="B147" s="29" t="s">
        <v>557</v>
      </c>
      <c r="C147" s="3" t="s">
        <v>558</v>
      </c>
      <c r="D147" s="4" t="s">
        <v>559</v>
      </c>
      <c r="Q147" s="4" t="s">
        <v>475</v>
      </c>
      <c r="S147" s="1" t="s">
        <v>560</v>
      </c>
      <c r="T147" s="2">
        <v>45316</v>
      </c>
      <c r="U147" s="41" t="s">
        <v>567</v>
      </c>
    </row>
    <row r="148" spans="1:21" ht="94.5">
      <c r="A148" s="4" t="s">
        <v>563</v>
      </c>
      <c r="B148" s="29" t="s">
        <v>564</v>
      </c>
      <c r="C148" s="3" t="s">
        <v>558</v>
      </c>
      <c r="D148" s="4" t="s">
        <v>566</v>
      </c>
      <c r="Q148" s="4" t="s">
        <v>475</v>
      </c>
      <c r="S148" s="1" t="s">
        <v>565</v>
      </c>
      <c r="T148" s="2">
        <v>45348</v>
      </c>
      <c r="U148" s="41" t="s">
        <v>567</v>
      </c>
    </row>
  </sheetData>
  <sheetProtection/>
  <mergeCells count="6">
    <mergeCell ref="S2:T2"/>
    <mergeCell ref="X2:Y2"/>
    <mergeCell ref="A2:B2"/>
    <mergeCell ref="K2:L2"/>
    <mergeCell ref="Z2:AA2"/>
    <mergeCell ref="AB2:AC2"/>
  </mergeCells>
  <printOptions/>
  <pageMargins left="0.75" right="0.75" top="1" bottom="1" header="0.5" footer="0.5"/>
  <pageSetup horizontalDpi="600" verticalDpi="600" orientation="portrait" paperSize="9" r:id="rId3"/>
  <ignoredErrors>
    <ignoredError sqref="B54" 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3" sqref="G1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oblast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РРТУКАК/ИТ</dc:creator>
  <cp:keywords/>
  <dc:description/>
  <cp:lastModifiedBy>Jeni Dimitrova</cp:lastModifiedBy>
  <cp:lastPrinted>2003-03-17T16:13:35Z</cp:lastPrinted>
  <dcterms:created xsi:type="dcterms:W3CDTF">2003-03-17T15:21:02Z</dcterms:created>
  <dcterms:modified xsi:type="dcterms:W3CDTF">2024-03-15T07:31:25Z</dcterms:modified>
  <cp:category/>
  <cp:version/>
  <cp:contentType/>
  <cp:contentStatus/>
</cp:coreProperties>
</file>